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ДДС" sheetId="1" state="visible" r:id="rId1"/>
    <sheet xmlns:r="http://schemas.openxmlformats.org/officeDocument/2006/relationships" name="Остаток по неделям" sheetId="2" state="visible" r:id="rId2"/>
    <sheet xmlns:r="http://schemas.openxmlformats.org/officeDocument/2006/relationships"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&quot;с &quot;dd.mm.yy"/>
    <numFmt numFmtId="167" formatCode="+#,##0;-#,##0;0"/>
  </numFmts>
  <fonts count="12">
    <font>
      <name val="Calibri"/>
      <family val="2"/>
      <color theme="1"/>
      <sz val="11"/>
      <scheme val="minor"/>
    </font>
    <font>
      <name val="Calibri"/>
      <b val="1"/>
      <sz val="15"/>
    </font>
    <font>
      <name val="Calibri"/>
      <i val="1"/>
      <color rgb="007A7872"/>
      <sz val="10"/>
    </font>
    <font>
      <name val="Calibri"/>
      <b val="1"/>
    </font>
    <font>
      <name val="Calibri"/>
      <b val="1"/>
      <color rgb="005F5E5A"/>
    </font>
    <font>
      <name val="Calibri"/>
      <b val="1"/>
      <color rgb="001F1E1C"/>
    </font>
    <font>
      <name val="Calibri"/>
      <i val="1"/>
      <color rgb="005F5E5A"/>
    </font>
    <font>
      <name val="Calibri"/>
      <color rgb="005F5E5A"/>
      <sz val="10"/>
    </font>
    <font>
      <name val="Calibri"/>
      <b val="1"/>
      <color rgb="001F1E1C"/>
      <sz val="11"/>
    </font>
    <font>
      <name val="Calibri"/>
      <color rgb="001F1E1C"/>
      <sz val="11"/>
    </font>
    <font>
      <name val="Calibri"/>
      <b val="1"/>
      <sz val="13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4F2EE"/>
      </patternFill>
    </fill>
    <fill>
      <patternFill patternType="solid">
        <fgColor rgb="00EFEDE7"/>
      </patternFill>
    </fill>
    <fill>
      <patternFill patternType="solid">
        <fgColor rgb="00F8F7F3"/>
      </patternFill>
    </fill>
  </fills>
  <borders count="3">
    <border>
      <left/>
      <right/>
      <top/>
      <bottom/>
      <diagonal/>
    </border>
    <border>
      <left style="thin">
        <color rgb="00D9D7D0"/>
      </left>
      <right style="thin">
        <color rgb="00D9D7D0"/>
      </right>
      <top style="thin">
        <color rgb="00D9D7D0"/>
      </top>
      <bottom style="thin">
        <color rgb="00D9D7D0"/>
      </bottom>
    </border>
    <border>
      <left style="medium">
        <color rgb="00A5A39B"/>
      </left>
      <right style="thin">
        <color rgb="00D9D7D0"/>
      </right>
      <top style="thin">
        <color rgb="00D9D7D0"/>
      </top>
      <bottom style="thin">
        <color rgb="00D9D7D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2" borderId="1" applyAlignment="1" pivotButton="0" quotePrefix="0" xfId="0">
      <alignment horizontal="right"/>
    </xf>
    <xf numFmtId="3" fontId="3" fillId="2" borderId="1" applyAlignment="1" pivotButton="0" quotePrefix="0" xfId="0">
      <alignment horizontal="right"/>
    </xf>
    <xf numFmtId="0" fontId="4" fillId="0" borderId="0" pivotButton="0" quotePrefix="0" xfId="0"/>
    <xf numFmtId="3" fontId="3" fillId="3" borderId="1" applyAlignment="1" pivotButton="0" quotePrefix="0" xfId="0">
      <alignment horizontal="right"/>
    </xf>
    <xf numFmtId="165" fontId="3" fillId="3" borderId="1" applyAlignment="1" pivotButton="0" quotePrefix="0" xfId="0">
      <alignment horizontal="right"/>
    </xf>
    <xf numFmtId="0" fontId="3" fillId="3" borderId="1" applyAlignment="1" pivotButton="0" quotePrefix="0" xfId="0">
      <alignment vertical="center"/>
    </xf>
    <xf numFmtId="0" fontId="3" fillId="3" borderId="2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3" borderId="1" pivotButton="0" quotePrefix="0" xfId="0"/>
    <xf numFmtId="166" fontId="3" fillId="3" borderId="2" applyAlignment="1" pivotButton="0" quotePrefix="0" xfId="0">
      <alignment horizontal="center"/>
    </xf>
    <xf numFmtId="0" fontId="5" fillId="4" borderId="1" pivotButton="0" quotePrefix="0" xfId="0"/>
    <xf numFmtId="3" fontId="8" fillId="4" borderId="2" pivotButton="0" quotePrefix="0" xfId="0"/>
    <xf numFmtId="3" fontId="8" fillId="4" borderId="1" pivotButton="0" quotePrefix="0" xfId="0"/>
    <xf numFmtId="167" fontId="7" fillId="4" borderId="1" pivotButton="0" quotePrefix="0" xfId="0"/>
    <xf numFmtId="0" fontId="5" fillId="5" borderId="1" pivotButton="0" quotePrefix="0" xfId="0"/>
    <xf numFmtId="3" fontId="8" fillId="5" borderId="2" pivotButton="0" quotePrefix="0" xfId="0"/>
    <xf numFmtId="3" fontId="8" fillId="5" borderId="1" pivotButton="0" quotePrefix="0" xfId="0"/>
    <xf numFmtId="167" fontId="7" fillId="5" borderId="1" pivotButton="0" quotePrefix="0" xfId="0"/>
    <xf numFmtId="0" fontId="0" fillId="2" borderId="1" pivotButton="0" quotePrefix="0" xfId="0"/>
    <xf numFmtId="3" fontId="0" fillId="2" borderId="2" pivotButton="0" quotePrefix="0" xfId="0"/>
    <xf numFmtId="3" fontId="0" fillId="2" borderId="1" pivotButton="0" quotePrefix="0" xfId="0"/>
    <xf numFmtId="167" fontId="7" fillId="0" borderId="1" pivotButton="0" quotePrefix="0" xfId="0"/>
    <xf numFmtId="0" fontId="5" fillId="0" borderId="1" pivotButton="0" quotePrefix="0" xfId="0"/>
    <xf numFmtId="3" fontId="8" fillId="0" borderId="2" pivotButton="0" quotePrefix="0" xfId="0"/>
    <xf numFmtId="3" fontId="8" fillId="0" borderId="1" pivotButton="0" quotePrefix="0" xfId="0"/>
    <xf numFmtId="0" fontId="6" fillId="0" borderId="1" pivotButton="0" quotePrefix="0" xfId="0"/>
    <xf numFmtId="0" fontId="0" fillId="0" borderId="2" pivotButton="0" quotePrefix="0" xfId="0"/>
    <xf numFmtId="3" fontId="2" fillId="0" borderId="1" applyAlignment="1" pivotButton="0" quotePrefix="0" xfId="0">
      <alignment horizontal="center"/>
    </xf>
    <xf numFmtId="0" fontId="0" fillId="0" borderId="1" pivotButton="0" quotePrefix="0" xfId="0"/>
    <xf numFmtId="3" fontId="2" fillId="0" borderId="1" pivotButton="0" quotePrefix="0" xfId="0"/>
    <xf numFmtId="0" fontId="3" fillId="3" borderId="1" applyAlignment="1" pivotButton="0" quotePrefix="0" xfId="0">
      <alignment vertical="center" wrapText="1"/>
    </xf>
    <xf numFmtId="165" fontId="0" fillId="0" borderId="1" pivotButton="0" quotePrefix="0" xfId="0"/>
    <xf numFmtId="3" fontId="0" fillId="0" borderId="1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8">
    <dxf>
      <font>
        <b val="1"/>
        <color rgb="00A32D2D"/>
      </font>
      <fill>
        <patternFill patternType="solid">
          <fgColor rgb="00F6D9D9"/>
        </patternFill>
      </fill>
    </dxf>
    <dxf>
      <font>
        <b val="1"/>
        <color rgb="00854F0B"/>
      </font>
      <fill>
        <patternFill patternType="solid">
          <fgColor rgb="00F7E6C8"/>
        </patternFill>
      </fill>
    </dxf>
    <dxf>
      <font>
        <b val="1"/>
        <color rgb="00A32D2D"/>
      </font>
      <fill>
        <patternFill patternType="solid">
          <fgColor rgb="00FCEBEB"/>
        </patternFill>
      </fill>
    </dxf>
    <dxf>
      <font>
        <b val="1"/>
        <color rgb="00A32D2D"/>
      </font>
    </dxf>
    <dxf>
      <font>
        <color rgb="003B6D11"/>
      </font>
    </dxf>
    <dxf>
      <font>
        <color rgb="00A32D2D"/>
      </font>
    </dxf>
    <dxf>
      <fill>
        <patternFill patternType="solid">
          <fgColor rgb="00F6D9D9"/>
        </patternFill>
      </fill>
    </dxf>
    <dxf>
      <fill>
        <patternFill patternType="solid">
          <fgColor rgb="00F7E6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Остаток денег на конец недели</a:t>
            </a:r>
          </a:p>
        </rich>
      </tx>
    </title>
    <plotArea>
      <lineChart>
        <grouping val="standard"/>
        <ser>
          <idx val="0"/>
          <order val="0"/>
          <tx>
            <strRef>
              <f>'Остаток по неделям'!D1</f>
            </strRef>
          </tx>
          <spPr>
            <a:ln xmlns:a="http://schemas.openxmlformats.org/drawingml/2006/main" w="22000">
              <a:solidFill>
                <a:srgbClr val="92908A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'Остаток по неделям'!$B$2:$B$13</f>
            </numRef>
          </cat>
          <val>
            <numRef>
              <f>'Остаток по неделям'!$D$2:$D$13</f>
            </numRef>
          </val>
          <smooth val="0"/>
        </ser>
        <ser>
          <idx val="1"/>
          <order val="1"/>
          <tx>
            <strRef>
              <f>'Остаток по неделям'!E1</f>
            </strRef>
          </tx>
          <spPr>
            <a:ln xmlns:a="http://schemas.openxmlformats.org/drawingml/2006/main" w="32000">
              <a:solidFill>
                <a:srgbClr val="185FA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'Остаток по неделям'!$B$2:$B$13</f>
            </numRef>
          </cat>
          <val>
            <numRef>
              <f>'Остаток по неделям'!$E$2:$E$13</f>
            </numRef>
          </val>
          <smooth val="0"/>
        </ser>
        <ser>
          <idx val="2"/>
          <order val="2"/>
          <tx>
            <strRef>
              <f>'Остаток по неделям'!I1</f>
            </strRef>
          </tx>
          <spPr>
            <a:ln xmlns:a="http://schemas.openxmlformats.org/drawingml/2006/main" w="15000">
              <a:solidFill>
                <a:srgbClr val="854F0B"/>
              </a:solidFill>
              <a:prstDash val="sysDot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'Остаток по неделям'!$B$2:$B$13</f>
            </numRef>
          </cat>
          <val>
            <numRef>
              <f>'Остаток по неделям'!$I$2:$I$13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dd.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₽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6"/>
  <sheetViews>
    <sheetView zoomScale="90"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0" customWidth="1" min="10" max="10"/>
    <col width="12" customWidth="1" min="11" max="11"/>
    <col width="12" customWidth="1" min="12" max="12"/>
    <col width="10" customWidth="1" min="13" max="13"/>
    <col width="12" customWidth="1" min="14" max="14"/>
    <col width="12" customWidth="1" min="15" max="15"/>
    <col width="10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0" customWidth="1" min="22" max="22"/>
    <col width="12" customWidth="1" min="23" max="23"/>
    <col width="12" customWidth="1" min="24" max="24"/>
    <col width="10" customWidth="1" min="25" max="25"/>
    <col width="12" customWidth="1" min="26" max="26"/>
    <col width="12" customWidth="1" min="27" max="27"/>
    <col width="10" customWidth="1" min="28" max="28"/>
    <col width="12" customWidth="1" min="29" max="29"/>
    <col width="12" customWidth="1" min="30" max="30"/>
    <col width="10" customWidth="1" min="31" max="31"/>
    <col width="12" customWidth="1" min="32" max="32"/>
    <col width="12" customWidth="1" min="33" max="33"/>
    <col width="10" customWidth="1" min="34" max="34"/>
    <col width="12" customWidth="1" min="35" max="35"/>
    <col width="12" customWidth="1" min="36" max="36"/>
    <col width="10" customWidth="1" min="37" max="37"/>
  </cols>
  <sheetData>
    <row r="1">
      <c r="A1" s="1" t="inlineStr">
        <is>
          <t>БДДС — план и факт по неделям</t>
        </is>
      </c>
    </row>
    <row r="2">
      <c r="A2" s="2" t="inlineStr">
        <is>
          <t>Жёлтые ячейки — ввод, остальное считают формулы. Пустая ячейка факта = считаем по плану. В строках остатка колонка «Факт» — это факт, а где факта ещё нет — прогноз от фактического остатка.</t>
        </is>
      </c>
    </row>
    <row r="4">
      <c r="A4" t="inlineStr">
        <is>
          <t>Понедельник первой недели</t>
        </is>
      </c>
      <c r="B4" s="3" t="n">
        <v>46279</v>
      </c>
    </row>
    <row r="5">
      <c r="A5" t="inlineStr">
        <is>
          <t>Деньги на счетах на старте, ₽</t>
        </is>
      </c>
      <c r="B5" s="4" t="n">
        <v>1190000</v>
      </c>
    </row>
    <row r="6">
      <c r="A6" t="inlineStr">
        <is>
          <t>Неснижаемый остаток, ₽</t>
        </is>
      </c>
      <c r="B6" s="4" t="n">
        <v>300000</v>
      </c>
    </row>
    <row r="7">
      <c r="A7" s="5" t="inlineStr">
        <is>
          <t>Сводка</t>
        </is>
      </c>
    </row>
    <row r="8">
      <c r="A8" t="inlineStr">
        <is>
          <t>Минимальный остаток (факт + прогноз), ₽</t>
        </is>
      </c>
      <c r="B8" s="6">
        <f>MIN($B$36:$AK$36)</f>
        <v>-159240</v>
      </c>
    </row>
    <row r="9">
      <c r="A9" t="inlineStr">
        <is>
          <t>Неделя минимума (с понедельника)</t>
        </is>
      </c>
      <c r="B9" s="7">
        <f>INDEX($B$14:$AK$14,MATCH(B8,$B$36:$AK$36,0)-1)</f>
        <v>46314</v>
      </c>
    </row>
    <row r="10">
      <c r="A10" t="inlineStr">
        <is>
          <t>Первая неделя с минусом на счёте</t>
        </is>
      </c>
      <c r="B10" s="7">
        <f>IFERROR(INDEX($B$14:$AK$14,MATCH("разрыв",$B$35:$AK$35,0)-1),"нет")</f>
        <v>46314</v>
      </c>
    </row>
    <row r="11">
      <c r="A11" t="inlineStr">
        <is>
          <t>Первая неделя ниже неснижаемого</t>
        </is>
      </c>
      <c r="B11" s="7">
        <f>IFERROR(INDEX($B$14:$AK$14,MIN(IFERROR(MATCH("разрыв",$B$35:$AK$35,0),999),IFERROR(MATCH("ниже неснижаемого",$B$35:$AK$35,0),999))-1),"нет")</f>
        <v>46314</v>
      </c>
    </row>
    <row r="13">
      <c r="A13" s="8" t="inlineStr">
        <is>
          <t>Статья, ₽</t>
        </is>
      </c>
      <c r="B13" s="9" t="inlineStr">
        <is>
          <t>Нед. 1</t>
        </is>
      </c>
      <c r="C13" s="10" t="n"/>
      <c r="D13" s="10" t="n"/>
      <c r="E13" s="9" t="inlineStr">
        <is>
          <t>Нед. 2</t>
        </is>
      </c>
      <c r="F13" s="10" t="n"/>
      <c r="G13" s="10" t="n"/>
      <c r="H13" s="9" t="inlineStr">
        <is>
          <t>Нед. 3</t>
        </is>
      </c>
      <c r="I13" s="10" t="n"/>
      <c r="J13" s="10" t="n"/>
      <c r="K13" s="9" t="inlineStr">
        <is>
          <t>Нед. 4</t>
        </is>
      </c>
      <c r="L13" s="10" t="n"/>
      <c r="M13" s="10" t="n"/>
      <c r="N13" s="9" t="inlineStr">
        <is>
          <t>Нед. 5</t>
        </is>
      </c>
      <c r="O13" s="10" t="n"/>
      <c r="P13" s="10" t="n"/>
      <c r="Q13" s="9" t="inlineStr">
        <is>
          <t>Нед. 6</t>
        </is>
      </c>
      <c r="R13" s="10" t="n"/>
      <c r="S13" s="10" t="n"/>
      <c r="T13" s="9" t="inlineStr">
        <is>
          <t>Нед. 7</t>
        </is>
      </c>
      <c r="U13" s="10" t="n"/>
      <c r="V13" s="10" t="n"/>
      <c r="W13" s="9" t="inlineStr">
        <is>
          <t>Нед. 8</t>
        </is>
      </c>
      <c r="X13" s="10" t="n"/>
      <c r="Y13" s="10" t="n"/>
      <c r="Z13" s="9" t="inlineStr">
        <is>
          <t>Нед. 9</t>
        </is>
      </c>
      <c r="AA13" s="10" t="n"/>
      <c r="AB13" s="10" t="n"/>
      <c r="AC13" s="9" t="inlineStr">
        <is>
          <t>Нед. 10</t>
        </is>
      </c>
      <c r="AD13" s="10" t="n"/>
      <c r="AE13" s="10" t="n"/>
      <c r="AF13" s="9" t="inlineStr">
        <is>
          <t>Нед. 11</t>
        </is>
      </c>
      <c r="AG13" s="10" t="n"/>
      <c r="AH13" s="10" t="n"/>
      <c r="AI13" s="9" t="inlineStr">
        <is>
          <t>Нед. 12</t>
        </is>
      </c>
      <c r="AJ13" s="10" t="n"/>
      <c r="AK13" s="10" t="n"/>
    </row>
    <row r="14">
      <c r="A14" s="11" t="n"/>
      <c r="B14" s="12">
        <f>$B$4+0</f>
        <v>46279</v>
      </c>
      <c r="C14" s="10" t="n"/>
      <c r="D14" s="10" t="n"/>
      <c r="E14" s="12">
        <f>$B$4+7</f>
        <v>46286</v>
      </c>
      <c r="F14" s="10" t="n"/>
      <c r="G14" s="10" t="n"/>
      <c r="H14" s="12">
        <f>$B$4+14</f>
        <v>46293</v>
      </c>
      <c r="I14" s="10" t="n"/>
      <c r="J14" s="10" t="n"/>
      <c r="K14" s="12">
        <f>$B$4+21</f>
        <v>46300</v>
      </c>
      <c r="L14" s="10" t="n"/>
      <c r="M14" s="10" t="n"/>
      <c r="N14" s="12">
        <f>$B$4+28</f>
        <v>46307</v>
      </c>
      <c r="O14" s="10" t="n"/>
      <c r="P14" s="10" t="n"/>
      <c r="Q14" s="12">
        <f>$B$4+35</f>
        <v>46314</v>
      </c>
      <c r="R14" s="10" t="n"/>
      <c r="S14" s="10" t="n"/>
      <c r="T14" s="12">
        <f>$B$4+42</f>
        <v>46321</v>
      </c>
      <c r="U14" s="10" t="n"/>
      <c r="V14" s="10" t="n"/>
      <c r="W14" s="12">
        <f>$B$4+49</f>
        <v>46328</v>
      </c>
      <c r="X14" s="10" t="n"/>
      <c r="Y14" s="10" t="n"/>
      <c r="Z14" s="12">
        <f>$B$4+56</f>
        <v>46335</v>
      </c>
      <c r="AA14" s="10" t="n"/>
      <c r="AB14" s="10" t="n"/>
      <c r="AC14" s="12">
        <f>$B$4+63</f>
        <v>46342</v>
      </c>
      <c r="AD14" s="10" t="n"/>
      <c r="AE14" s="10" t="n"/>
      <c r="AF14" s="12">
        <f>$B$4+70</f>
        <v>46349</v>
      </c>
      <c r="AG14" s="10" t="n"/>
      <c r="AH14" s="10" t="n"/>
      <c r="AI14" s="12">
        <f>$B$4+77</f>
        <v>46356</v>
      </c>
      <c r="AJ14" s="10" t="n"/>
      <c r="AK14" s="10" t="n"/>
    </row>
    <row r="15">
      <c r="A15" s="11" t="n"/>
      <c r="B15" s="9" t="inlineStr">
        <is>
          <t>План</t>
        </is>
      </c>
      <c r="C15" s="10" t="inlineStr">
        <is>
          <t>Факт</t>
        </is>
      </c>
      <c r="D15" s="10" t="inlineStr">
        <is>
          <t>Откл.</t>
        </is>
      </c>
      <c r="E15" s="9" t="inlineStr">
        <is>
          <t>План</t>
        </is>
      </c>
      <c r="F15" s="10" t="inlineStr">
        <is>
          <t>Факт</t>
        </is>
      </c>
      <c r="G15" s="10" t="inlineStr">
        <is>
          <t>Откл.</t>
        </is>
      </c>
      <c r="H15" s="9" t="inlineStr">
        <is>
          <t>План</t>
        </is>
      </c>
      <c r="I15" s="10" t="inlineStr">
        <is>
          <t>Факт</t>
        </is>
      </c>
      <c r="J15" s="10" t="inlineStr">
        <is>
          <t>Откл.</t>
        </is>
      </c>
      <c r="K15" s="9" t="inlineStr">
        <is>
          <t>План</t>
        </is>
      </c>
      <c r="L15" s="10" t="inlineStr">
        <is>
          <t>Факт</t>
        </is>
      </c>
      <c r="M15" s="10" t="inlineStr">
        <is>
          <t>Откл.</t>
        </is>
      </c>
      <c r="N15" s="9" t="inlineStr">
        <is>
          <t>План</t>
        </is>
      </c>
      <c r="O15" s="10" t="inlineStr">
        <is>
          <t>Факт</t>
        </is>
      </c>
      <c r="P15" s="10" t="inlineStr">
        <is>
          <t>Откл.</t>
        </is>
      </c>
      <c r="Q15" s="9" t="inlineStr">
        <is>
          <t>План</t>
        </is>
      </c>
      <c r="R15" s="10" t="inlineStr">
        <is>
          <t>Факт</t>
        </is>
      </c>
      <c r="S15" s="10" t="inlineStr">
        <is>
          <t>Откл.</t>
        </is>
      </c>
      <c r="T15" s="9" t="inlineStr">
        <is>
          <t>План</t>
        </is>
      </c>
      <c r="U15" s="10" t="inlineStr">
        <is>
          <t>Факт</t>
        </is>
      </c>
      <c r="V15" s="10" t="inlineStr">
        <is>
          <t>Откл.</t>
        </is>
      </c>
      <c r="W15" s="9" t="inlineStr">
        <is>
          <t>План</t>
        </is>
      </c>
      <c r="X15" s="10" t="inlineStr">
        <is>
          <t>Факт</t>
        </is>
      </c>
      <c r="Y15" s="10" t="inlineStr">
        <is>
          <t>Откл.</t>
        </is>
      </c>
      <c r="Z15" s="9" t="inlineStr">
        <is>
          <t>План</t>
        </is>
      </c>
      <c r="AA15" s="10" t="inlineStr">
        <is>
          <t>Факт</t>
        </is>
      </c>
      <c r="AB15" s="10" t="inlineStr">
        <is>
          <t>Откл.</t>
        </is>
      </c>
      <c r="AC15" s="9" t="inlineStr">
        <is>
          <t>План</t>
        </is>
      </c>
      <c r="AD15" s="10" t="inlineStr">
        <is>
          <t>Факт</t>
        </is>
      </c>
      <c r="AE15" s="10" t="inlineStr">
        <is>
          <t>Откл.</t>
        </is>
      </c>
      <c r="AF15" s="9" t="inlineStr">
        <is>
          <t>План</t>
        </is>
      </c>
      <c r="AG15" s="10" t="inlineStr">
        <is>
          <t>Факт</t>
        </is>
      </c>
      <c r="AH15" s="10" t="inlineStr">
        <is>
          <t>Откл.</t>
        </is>
      </c>
      <c r="AI15" s="9" t="inlineStr">
        <is>
          <t>План</t>
        </is>
      </c>
      <c r="AJ15" s="10" t="inlineStr">
        <is>
          <t>Факт</t>
        </is>
      </c>
      <c r="AK15" s="10" t="inlineStr">
        <is>
          <t>Откл.</t>
        </is>
      </c>
    </row>
    <row r="16">
      <c r="A16" s="13" t="inlineStr">
        <is>
          <t>Остаток на начало</t>
        </is>
      </c>
      <c r="B16" s="14">
        <f>$B$5</f>
        <v>1190000</v>
      </c>
      <c r="C16" s="15">
        <f>$B$5</f>
        <v>1190000</v>
      </c>
      <c r="D16" s="16">
        <f>C16-B16</f>
        <v>0</v>
      </c>
      <c r="E16" s="14">
        <f>B34</f>
        <v>1165000</v>
      </c>
      <c r="F16" s="15">
        <f>C34</f>
        <v>1063460</v>
      </c>
      <c r="G16" s="16">
        <f>F16-E16</f>
        <v>-101540</v>
      </c>
      <c r="H16" s="14">
        <f>E34</f>
        <v>1725000</v>
      </c>
      <c r="I16" s="15">
        <f>F34</f>
        <v>1671560</v>
      </c>
      <c r="J16" s="16">
        <f>I16-H16</f>
        <v>-53440</v>
      </c>
      <c r="K16" s="14">
        <f>H34</f>
        <v>1840000</v>
      </c>
      <c r="L16" s="15">
        <f>I34</f>
        <v>1653320</v>
      </c>
      <c r="M16" s="16">
        <f>L16-K16</f>
        <v>-186680</v>
      </c>
      <c r="N16" s="14">
        <f>K34</f>
        <v>2345000</v>
      </c>
      <c r="O16" s="15">
        <f>L34</f>
        <v>2030760</v>
      </c>
      <c r="P16" s="16">
        <f>O16-N16</f>
        <v>-314240</v>
      </c>
      <c r="Q16" s="14">
        <f>N34</f>
        <v>2370000</v>
      </c>
      <c r="R16" s="15">
        <f>O34</f>
        <v>2055760</v>
      </c>
      <c r="S16" s="16">
        <f>R16-Q16</f>
        <v>-314240</v>
      </c>
      <c r="T16" s="14">
        <f>Q34</f>
        <v>155000</v>
      </c>
      <c r="U16" s="15">
        <f>R34</f>
        <v>-159240</v>
      </c>
      <c r="V16" s="16">
        <f>U16-T16</f>
        <v>-314240</v>
      </c>
      <c r="W16" s="14">
        <f>T34</f>
        <v>190000</v>
      </c>
      <c r="X16" s="15">
        <f>U34</f>
        <v>-124240</v>
      </c>
      <c r="Y16" s="16">
        <f>X16-W16</f>
        <v>-314240</v>
      </c>
      <c r="Z16" s="14">
        <f>W34</f>
        <v>575000</v>
      </c>
      <c r="AA16" s="15">
        <f>X34</f>
        <v>260760</v>
      </c>
      <c r="AB16" s="16">
        <f>AA16-Z16</f>
        <v>-314240</v>
      </c>
      <c r="AC16" s="14">
        <f>Z34</f>
        <v>575000</v>
      </c>
      <c r="AD16" s="15">
        <f>AA34</f>
        <v>260760</v>
      </c>
      <c r="AE16" s="16">
        <f>AD16-AC16</f>
        <v>-314240</v>
      </c>
      <c r="AF16" s="14">
        <f>AC34</f>
        <v>1185000</v>
      </c>
      <c r="AG16" s="15">
        <f>AD34</f>
        <v>870760</v>
      </c>
      <c r="AH16" s="16">
        <f>AG16-AF16</f>
        <v>-314240</v>
      </c>
      <c r="AI16" s="14">
        <f>AF34</f>
        <v>1440000</v>
      </c>
      <c r="AJ16" s="15">
        <f>AG34</f>
        <v>1125760</v>
      </c>
      <c r="AK16" s="16">
        <f>AJ16-AI16</f>
        <v>-314240</v>
      </c>
    </row>
    <row r="17">
      <c r="A17" s="17" t="inlineStr">
        <is>
          <t>ПРИХОДЫ</t>
        </is>
      </c>
      <c r="B17" s="18">
        <f>SUM(B18:B22)</f>
        <v>1080000</v>
      </c>
      <c r="C17" s="19">
        <f>IF(COUNT(C18:C22,C24:C32)=0,"",SUM(C18:C22)+SUMPRODUCT((C18:C22="")*B18:B22))</f>
        <v>1012460</v>
      </c>
      <c r="D17" s="20">
        <f>IF(C17="","",C17-B17)</f>
        <v>-67540</v>
      </c>
      <c r="E17" s="18">
        <f>SUM(E18:E22)</f>
        <v>1120000</v>
      </c>
      <c r="F17" s="19">
        <f>IF(COUNT(F18:F22,F24:F32)=0,"",SUM(F18:F22)+SUMPRODUCT((F18:F22="")*E18:E22))</f>
        <v>1186300</v>
      </c>
      <c r="G17" s="20">
        <f>IF(F17="","",F17-E17)</f>
        <v>66300</v>
      </c>
      <c r="H17" s="18">
        <f>SUM(H18:H22)</f>
        <v>1120000</v>
      </c>
      <c r="I17" s="19">
        <f>IF(COUNT(I18:I22,I24:I32)=0,"",SUM(I18:I22)+SUMPRODUCT((I18:I22="")*H18:H22))</f>
        <v>1028210</v>
      </c>
      <c r="J17" s="20">
        <f>IF(I17="","",I17-H17)</f>
        <v>-91790</v>
      </c>
      <c r="K17" s="18">
        <f>SUM(K18:K22)</f>
        <v>1010000</v>
      </c>
      <c r="L17" s="19">
        <f>IF(COUNT(L18:L22,L24:L32)=0,"",SUM(L18:L22)+SUMPRODUCT((L18:L22="")*K18:K22))</f>
        <v>960940</v>
      </c>
      <c r="M17" s="20">
        <f>IF(L17="","",L17-K17)</f>
        <v>-49060</v>
      </c>
      <c r="N17" s="18">
        <f>SUM(N18:N22)</f>
        <v>980000</v>
      </c>
      <c r="O17" s="19" t="str">
        <f>IF(COUNT(O18:O22,O24:O32)=0,"",SUM(O18:O22)+SUMPRODUCT((O18:O22="")*N18:N22))</f>
        <v/>
      </c>
      <c r="P17" s="20" t="str">
        <f>IF(O17="","",O17-N17)</f>
        <v/>
      </c>
      <c r="Q17" s="18">
        <f>SUM(Q18:Q22)</f>
        <v>940000</v>
      </c>
      <c r="R17" s="19" t="str">
        <f>IF(COUNT(R18:R22,R24:R32)=0,"",SUM(R18:R22)+SUMPRODUCT((R18:R22="")*Q18:Q22))</f>
        <v/>
      </c>
      <c r="S17" s="20" t="str">
        <f>IF(R17="","",R17-Q17)</f>
        <v/>
      </c>
      <c r="T17" s="18">
        <f>SUM(T18:T22)</f>
        <v>920000</v>
      </c>
      <c r="U17" s="19" t="str">
        <f>IF(COUNT(U18:U22,U24:U32)=0,"",SUM(U18:U22)+SUMPRODUCT((U18:U22="")*T18:T22))</f>
        <v/>
      </c>
      <c r="V17" s="20" t="str">
        <f>IF(U17="","",U17-T17)</f>
        <v/>
      </c>
      <c r="W17" s="18">
        <f>SUM(W18:W22)</f>
        <v>960000</v>
      </c>
      <c r="X17" s="19" t="str">
        <f>IF(COUNT(X18:X22,X24:X32)=0,"",SUM(X18:X22)+SUMPRODUCT((X18:X22="")*W18:W22))</f>
        <v/>
      </c>
      <c r="Y17" s="20" t="str">
        <f>IF(X17="","",X17-W17)</f>
        <v/>
      </c>
      <c r="Z17" s="18">
        <f>SUM(Z18:Z22)</f>
        <v>1080000</v>
      </c>
      <c r="AA17" s="19" t="str">
        <f>IF(COUNT(AA18:AA22,AA24:AA32)=0,"",SUM(AA18:AA22)+SUMPRODUCT((AA18:AA22="")*Z18:Z22))</f>
        <v/>
      </c>
      <c r="AB17" s="20" t="str">
        <f>IF(AA17="","",AA17-Z17)</f>
        <v/>
      </c>
      <c r="AC17" s="18">
        <f>SUM(AC18:AC22)</f>
        <v>1200000</v>
      </c>
      <c r="AD17" s="19" t="str">
        <f>IF(COUNT(AD18:AD22,AD24:AD32)=0,"",SUM(AD18:AD22)+SUMPRODUCT((AD18:AD22="")*AC18:AC22))</f>
        <v/>
      </c>
      <c r="AE17" s="20" t="str">
        <f>IF(AD17="","",AD17-AC17)</f>
        <v/>
      </c>
      <c r="AF17" s="18">
        <f>SUM(AF18:AF22)</f>
        <v>1280000</v>
      </c>
      <c r="AG17" s="19" t="str">
        <f>IF(COUNT(AG18:AG22,AG24:AG32)=0,"",SUM(AG18:AG22)+SUMPRODUCT((AG18:AG22="")*AF18:AF22))</f>
        <v/>
      </c>
      <c r="AH17" s="20" t="str">
        <f>IF(AG17="","",AG17-AF17)</f>
        <v/>
      </c>
      <c r="AI17" s="18">
        <f>SUM(AI18:AI22)</f>
        <v>1320000</v>
      </c>
      <c r="AJ17" s="19" t="str">
        <f>IF(COUNT(AJ18:AJ22,AJ24:AJ32)=0,"",SUM(AJ18:AJ22)+SUMPRODUCT((AJ18:AJ22="")*AI18:AI22))</f>
        <v/>
      </c>
      <c r="AK17" s="20" t="str">
        <f>IF(AJ17="","",AJ17-AI17)</f>
        <v/>
      </c>
    </row>
    <row r="18">
      <c r="A18" s="21" t="inlineStr">
        <is>
          <t>Выплаты маркетплейса</t>
        </is>
      </c>
      <c r="B18" s="22" t="n">
        <v>1080000</v>
      </c>
      <c r="C18" s="23" t="n">
        <v>1012460</v>
      </c>
      <c r="D18" s="24">
        <f>IF(C18="","",C18-B18)</f>
        <v>-67540</v>
      </c>
      <c r="E18" s="22" t="n">
        <v>1120000</v>
      </c>
      <c r="F18" s="23" t="n">
        <v>1186300</v>
      </c>
      <c r="G18" s="24">
        <f>IF(F18="","",F18-E18)</f>
        <v>66300</v>
      </c>
      <c r="H18" s="22" t="n">
        <v>1060000</v>
      </c>
      <c r="I18" s="23" t="n">
        <v>968210</v>
      </c>
      <c r="J18" s="24">
        <f>IF(I18="","",I18-H18)</f>
        <v>-91790</v>
      </c>
      <c r="K18" s="22" t="n">
        <v>1010000</v>
      </c>
      <c r="L18" s="23" t="n">
        <v>960940</v>
      </c>
      <c r="M18" s="24">
        <f>IF(L18="","",L18-K18)</f>
        <v>-49060</v>
      </c>
      <c r="N18" s="22" t="n">
        <v>980000</v>
      </c>
      <c r="O18" s="23" t="n"/>
      <c r="P18" s="24" t="str">
        <f>IF(O18="","",O18-N18)</f>
        <v/>
      </c>
      <c r="Q18" s="22" t="n">
        <v>940000</v>
      </c>
      <c r="R18" s="23" t="n"/>
      <c r="S18" s="24" t="str">
        <f>IF(R18="","",R18-Q18)</f>
        <v/>
      </c>
      <c r="T18" s="22" t="n">
        <v>920000</v>
      </c>
      <c r="U18" s="23" t="n"/>
      <c r="V18" s="24" t="str">
        <f>IF(U18="","",U18-T18)</f>
        <v/>
      </c>
      <c r="W18" s="22" t="n">
        <v>960000</v>
      </c>
      <c r="X18" s="23" t="n"/>
      <c r="Y18" s="24" t="str">
        <f>IF(X18="","",X18-W18)</f>
        <v/>
      </c>
      <c r="Z18" s="22" t="n">
        <v>1080000</v>
      </c>
      <c r="AA18" s="23" t="n"/>
      <c r="AB18" s="24" t="str">
        <f>IF(AA18="","",AA18-Z18)</f>
        <v/>
      </c>
      <c r="AC18" s="22" t="n">
        <v>1200000</v>
      </c>
      <c r="AD18" s="23" t="n"/>
      <c r="AE18" s="24" t="str">
        <f>IF(AD18="","",AD18-AC18)</f>
        <v/>
      </c>
      <c r="AF18" s="22" t="n">
        <v>1280000</v>
      </c>
      <c r="AG18" s="23" t="n"/>
      <c r="AH18" s="24" t="str">
        <f>IF(AG18="","",AG18-AF18)</f>
        <v/>
      </c>
      <c r="AI18" s="22" t="n">
        <v>1320000</v>
      </c>
      <c r="AJ18" s="23" t="n"/>
      <c r="AK18" s="24" t="str">
        <f>IF(AJ18="","",AJ18-AI18)</f>
        <v/>
      </c>
    </row>
    <row r="19">
      <c r="A19" s="21" t="inlineStr">
        <is>
          <t>Займы / инвестиции</t>
        </is>
      </c>
      <c r="B19" s="22" t="n"/>
      <c r="C19" s="23" t="n"/>
      <c r="D19" s="24" t="str">
        <f>IF(C19="","",C19-B19)</f>
        <v/>
      </c>
      <c r="E19" s="22" t="n"/>
      <c r="F19" s="23" t="n"/>
      <c r="G19" s="24" t="str">
        <f>IF(F19="","",F19-E19)</f>
        <v/>
      </c>
      <c r="H19" s="22" t="n"/>
      <c r="I19" s="23" t="n"/>
      <c r="J19" s="24" t="str">
        <f>IF(I19="","",I19-H19)</f>
        <v/>
      </c>
      <c r="K19" s="22" t="n"/>
      <c r="L19" s="23" t="n"/>
      <c r="M19" s="24" t="str">
        <f>IF(L19="","",L19-K19)</f>
        <v/>
      </c>
      <c r="N19" s="22" t="n"/>
      <c r="O19" s="23" t="n"/>
      <c r="P19" s="24" t="str">
        <f>IF(O19="","",O19-N19)</f>
        <v/>
      </c>
      <c r="Q19" s="22" t="n"/>
      <c r="R19" s="23" t="n"/>
      <c r="S19" s="24" t="str">
        <f>IF(R19="","",R19-Q19)</f>
        <v/>
      </c>
      <c r="T19" s="22" t="n"/>
      <c r="U19" s="23" t="n"/>
      <c r="V19" s="24" t="str">
        <f>IF(U19="","",U19-T19)</f>
        <v/>
      </c>
      <c r="W19" s="22" t="n"/>
      <c r="X19" s="23" t="n"/>
      <c r="Y19" s="24" t="str">
        <f>IF(X19="","",X19-W19)</f>
        <v/>
      </c>
      <c r="Z19" s="22" t="n"/>
      <c r="AA19" s="23" t="n"/>
      <c r="AB19" s="24" t="str">
        <f>IF(AA19="","",AA19-Z19)</f>
        <v/>
      </c>
      <c r="AC19" s="22" t="n"/>
      <c r="AD19" s="23" t="n"/>
      <c r="AE19" s="24" t="str">
        <f>IF(AD19="","",AD19-AC19)</f>
        <v/>
      </c>
      <c r="AF19" s="22" t="n"/>
      <c r="AG19" s="23" t="n"/>
      <c r="AH19" s="24" t="str">
        <f>IF(AG19="","",AG19-AF19)</f>
        <v/>
      </c>
      <c r="AI19" s="22" t="n"/>
      <c r="AJ19" s="23" t="n"/>
      <c r="AK19" s="24" t="str">
        <f>IF(AJ19="","",AJ19-AI19)</f>
        <v/>
      </c>
    </row>
    <row r="20">
      <c r="A20" s="21" t="inlineStr">
        <is>
          <t>Прочие поступления</t>
        </is>
      </c>
      <c r="B20" s="22" t="n"/>
      <c r="C20" s="23" t="n"/>
      <c r="D20" s="24" t="str">
        <f>IF(C20="","",C20-B20)</f>
        <v/>
      </c>
      <c r="E20" s="22" t="n"/>
      <c r="F20" s="23" t="n"/>
      <c r="G20" s="24" t="str">
        <f>IF(F20="","",F20-E20)</f>
        <v/>
      </c>
      <c r="H20" s="22" t="n">
        <v>60000</v>
      </c>
      <c r="I20" s="23" t="n">
        <v>60000</v>
      </c>
      <c r="J20" s="24">
        <f>IF(I20="","",I20-H20)</f>
        <v>0</v>
      </c>
      <c r="K20" s="22" t="n"/>
      <c r="L20" s="23" t="n"/>
      <c r="M20" s="24" t="str">
        <f>IF(L20="","",L20-K20)</f>
        <v/>
      </c>
      <c r="N20" s="22" t="n"/>
      <c r="O20" s="23" t="n"/>
      <c r="P20" s="24" t="str">
        <f>IF(O20="","",O20-N20)</f>
        <v/>
      </c>
      <c r="Q20" s="22" t="n"/>
      <c r="R20" s="23" t="n"/>
      <c r="S20" s="24" t="str">
        <f>IF(R20="","",R20-Q20)</f>
        <v/>
      </c>
      <c r="T20" s="22" t="n"/>
      <c r="U20" s="23" t="n"/>
      <c r="V20" s="24" t="str">
        <f>IF(U20="","",U20-T20)</f>
        <v/>
      </c>
      <c r="W20" s="22" t="n"/>
      <c r="X20" s="23" t="n"/>
      <c r="Y20" s="24" t="str">
        <f>IF(X20="","",X20-W20)</f>
        <v/>
      </c>
      <c r="Z20" s="22" t="n"/>
      <c r="AA20" s="23" t="n"/>
      <c r="AB20" s="24" t="str">
        <f>IF(AA20="","",AA20-Z20)</f>
        <v/>
      </c>
      <c r="AC20" s="22" t="n"/>
      <c r="AD20" s="23" t="n"/>
      <c r="AE20" s="24" t="str">
        <f>IF(AD20="","",AD20-AC20)</f>
        <v/>
      </c>
      <c r="AF20" s="22" t="n"/>
      <c r="AG20" s="23" t="n"/>
      <c r="AH20" s="24" t="str">
        <f>IF(AG20="","",AG20-AF20)</f>
        <v/>
      </c>
      <c r="AI20" s="22" t="n"/>
      <c r="AJ20" s="23" t="n"/>
      <c r="AK20" s="24" t="str">
        <f>IF(AJ20="","",AJ20-AI20)</f>
        <v/>
      </c>
    </row>
    <row r="21">
      <c r="A21" s="21" t="n"/>
      <c r="B21" s="22" t="n"/>
      <c r="C21" s="23" t="n"/>
      <c r="D21" s="24" t="str">
        <f>IF(C21="","",C21-B21)</f>
        <v/>
      </c>
      <c r="E21" s="22" t="n"/>
      <c r="F21" s="23" t="n"/>
      <c r="G21" s="24" t="str">
        <f>IF(F21="","",F21-E21)</f>
        <v/>
      </c>
      <c r="H21" s="22" t="n"/>
      <c r="I21" s="23" t="n"/>
      <c r="J21" s="24" t="str">
        <f>IF(I21="","",I21-H21)</f>
        <v/>
      </c>
      <c r="K21" s="22" t="n"/>
      <c r="L21" s="23" t="n"/>
      <c r="M21" s="24" t="str">
        <f>IF(L21="","",L21-K21)</f>
        <v/>
      </c>
      <c r="N21" s="22" t="n"/>
      <c r="O21" s="23" t="n"/>
      <c r="P21" s="24" t="str">
        <f>IF(O21="","",O21-N21)</f>
        <v/>
      </c>
      <c r="Q21" s="22" t="n"/>
      <c r="R21" s="23" t="n"/>
      <c r="S21" s="24" t="str">
        <f>IF(R21="","",R21-Q21)</f>
        <v/>
      </c>
      <c r="T21" s="22" t="n"/>
      <c r="U21" s="23" t="n"/>
      <c r="V21" s="24" t="str">
        <f>IF(U21="","",U21-T21)</f>
        <v/>
      </c>
      <c r="W21" s="22" t="n"/>
      <c r="X21" s="23" t="n"/>
      <c r="Y21" s="24" t="str">
        <f>IF(X21="","",X21-W21)</f>
        <v/>
      </c>
      <c r="Z21" s="22" t="n"/>
      <c r="AA21" s="23" t="n"/>
      <c r="AB21" s="24" t="str">
        <f>IF(AA21="","",AA21-Z21)</f>
        <v/>
      </c>
      <c r="AC21" s="22" t="n"/>
      <c r="AD21" s="23" t="n"/>
      <c r="AE21" s="24" t="str">
        <f>IF(AD21="","",AD21-AC21)</f>
        <v/>
      </c>
      <c r="AF21" s="22" t="n"/>
      <c r="AG21" s="23" t="n"/>
      <c r="AH21" s="24" t="str">
        <f>IF(AG21="","",AG21-AF21)</f>
        <v/>
      </c>
      <c r="AI21" s="22" t="n"/>
      <c r="AJ21" s="23" t="n"/>
      <c r="AK21" s="24" t="str">
        <f>IF(AJ21="","",AJ21-AI21)</f>
        <v/>
      </c>
    </row>
    <row r="22">
      <c r="A22" s="21" t="n"/>
      <c r="B22" s="22" t="n"/>
      <c r="C22" s="23" t="n"/>
      <c r="D22" s="24" t="str">
        <f>IF(C22="","",C22-B22)</f>
        <v/>
      </c>
      <c r="E22" s="22" t="n"/>
      <c r="F22" s="23" t="n"/>
      <c r="G22" s="24" t="str">
        <f>IF(F22="","",F22-E22)</f>
        <v/>
      </c>
      <c r="H22" s="22" t="n"/>
      <c r="I22" s="23" t="n"/>
      <c r="J22" s="24" t="str">
        <f>IF(I22="","",I22-H22)</f>
        <v/>
      </c>
      <c r="K22" s="22" t="n"/>
      <c r="L22" s="23" t="n"/>
      <c r="M22" s="24" t="str">
        <f>IF(L22="","",L22-K22)</f>
        <v/>
      </c>
      <c r="N22" s="22" t="n"/>
      <c r="O22" s="23" t="n"/>
      <c r="P22" s="24" t="str">
        <f>IF(O22="","",O22-N22)</f>
        <v/>
      </c>
      <c r="Q22" s="22" t="n"/>
      <c r="R22" s="23" t="n"/>
      <c r="S22" s="24" t="str">
        <f>IF(R22="","",R22-Q22)</f>
        <v/>
      </c>
      <c r="T22" s="22" t="n"/>
      <c r="U22" s="23" t="n"/>
      <c r="V22" s="24" t="str">
        <f>IF(U22="","",U22-T22)</f>
        <v/>
      </c>
      <c r="W22" s="22" t="n"/>
      <c r="X22" s="23" t="n"/>
      <c r="Y22" s="24" t="str">
        <f>IF(X22="","",X22-W22)</f>
        <v/>
      </c>
      <c r="Z22" s="22" t="n"/>
      <c r="AA22" s="23" t="n"/>
      <c r="AB22" s="24" t="str">
        <f>IF(AA22="","",AA22-Z22)</f>
        <v/>
      </c>
      <c r="AC22" s="22" t="n"/>
      <c r="AD22" s="23" t="n"/>
      <c r="AE22" s="24" t="str">
        <f>IF(AD22="","",AD22-AC22)</f>
        <v/>
      </c>
      <c r="AF22" s="22" t="n"/>
      <c r="AG22" s="23" t="n"/>
      <c r="AH22" s="24" t="str">
        <f>IF(AG22="","",AG22-AF22)</f>
        <v/>
      </c>
      <c r="AI22" s="22" t="n"/>
      <c r="AJ22" s="23" t="n"/>
      <c r="AK22" s="24" t="str">
        <f>IF(AJ22="","",AJ22-AI22)</f>
        <v/>
      </c>
    </row>
    <row r="23">
      <c r="A23" s="17" t="inlineStr">
        <is>
          <t>РАСХОДЫ</t>
        </is>
      </c>
      <c r="B23" s="18">
        <f>SUM(B24:B32)</f>
        <v>1105000</v>
      </c>
      <c r="C23" s="19">
        <f>IF(COUNT(C18:C22,C24:C32)=0,"",SUM(C24:C32)+SUMPRODUCT((C24:C32="")*B24:B32))</f>
        <v>1139000</v>
      </c>
      <c r="D23" s="20">
        <f>IF(C23="","",C23-B23)</f>
        <v>34000</v>
      </c>
      <c r="E23" s="18">
        <f>SUM(E24:E32)</f>
        <v>560000</v>
      </c>
      <c r="F23" s="19">
        <f>IF(COUNT(F18:F22,F24:F32)=0,"",SUM(F24:F32)+SUMPRODUCT((F24:F32="")*E24:E32))</f>
        <v>578200</v>
      </c>
      <c r="G23" s="20">
        <f>IF(F23="","",F23-E23)</f>
        <v>18200</v>
      </c>
      <c r="H23" s="18">
        <f>SUM(H24:H32)</f>
        <v>1005000</v>
      </c>
      <c r="I23" s="19">
        <f>IF(COUNT(I18:I22,I24:I32)=0,"",SUM(I24:I32)+SUMPRODUCT((I24:I32="")*H24:H32))</f>
        <v>1046450</v>
      </c>
      <c r="J23" s="20">
        <f>IF(I23="","",I23-H23)</f>
        <v>41450</v>
      </c>
      <c r="K23" s="18">
        <f>SUM(K24:K32)</f>
        <v>505000</v>
      </c>
      <c r="L23" s="19">
        <f>IF(COUNT(L18:L22,L24:L32)=0,"",SUM(L24:L32)+SUMPRODUCT((L24:L32="")*K24:K32))</f>
        <v>583500</v>
      </c>
      <c r="M23" s="20">
        <f>IF(L23="","",L23-K23)</f>
        <v>78500</v>
      </c>
      <c r="N23" s="18">
        <f>SUM(N24:N32)</f>
        <v>955000</v>
      </c>
      <c r="O23" s="19" t="str">
        <f>IF(COUNT(O18:O22,O24:O32)=0,"",SUM(O24:O32)+SUMPRODUCT((O24:O32="")*N24:N32))</f>
        <v/>
      </c>
      <c r="P23" s="20" t="str">
        <f>IF(O23="","",O23-N23)</f>
        <v/>
      </c>
      <c r="Q23" s="18">
        <f>SUM(Q24:Q32)</f>
        <v>3155000</v>
      </c>
      <c r="R23" s="19" t="str">
        <f>IF(COUNT(R18:R22,R24:R32)=0,"",SUM(R24:R32)+SUMPRODUCT((R24:R32="")*Q24:Q32))</f>
        <v/>
      </c>
      <c r="S23" s="20" t="str">
        <f>IF(R23="","",R23-Q23)</f>
        <v/>
      </c>
      <c r="T23" s="18">
        <f>SUM(T24:T32)</f>
        <v>885000</v>
      </c>
      <c r="U23" s="19" t="str">
        <f>IF(COUNT(U18:U22,U24:U32)=0,"",SUM(U24:U32)+SUMPRODUCT((U24:U32="")*T24:T32))</f>
        <v/>
      </c>
      <c r="V23" s="20" t="str">
        <f>IF(U23="","",U23-T23)</f>
        <v/>
      </c>
      <c r="W23" s="18">
        <f>SUM(W24:W32)</f>
        <v>575000</v>
      </c>
      <c r="X23" s="19" t="str">
        <f>IF(COUNT(X18:X22,X24:X32)=0,"",SUM(X24:X32)+SUMPRODUCT((X24:X32="")*W24:W32))</f>
        <v/>
      </c>
      <c r="Y23" s="20" t="str">
        <f>IF(X23="","",X23-W23)</f>
        <v/>
      </c>
      <c r="Z23" s="18">
        <f>SUM(Z24:Z32)</f>
        <v>1080000</v>
      </c>
      <c r="AA23" s="19" t="str">
        <f>IF(COUNT(AA18:AA22,AA24:AA32)=0,"",SUM(AA24:AA32)+SUMPRODUCT((AA24:AA32="")*Z24:Z32))</f>
        <v/>
      </c>
      <c r="AB23" s="20" t="str">
        <f>IF(AA23="","",AA23-Z23)</f>
        <v/>
      </c>
      <c r="AC23" s="18">
        <f>SUM(AC24:AC32)</f>
        <v>590000</v>
      </c>
      <c r="AD23" s="19" t="str">
        <f>IF(COUNT(AD18:AD22,AD24:AD32)=0,"",SUM(AD24:AD32)+SUMPRODUCT((AD24:AD32="")*AC24:AC32))</f>
        <v/>
      </c>
      <c r="AE23" s="20" t="str">
        <f>IF(AD23="","",AD23-AC23)</f>
        <v/>
      </c>
      <c r="AF23" s="18">
        <f>SUM(AF24:AF32)</f>
        <v>1025000</v>
      </c>
      <c r="AG23" s="19" t="str">
        <f>IF(COUNT(AG18:AG22,AG24:AG32)=0,"",SUM(AG24:AG32)+SUMPRODUCT((AG24:AG32="")*AF24:AF32))</f>
        <v/>
      </c>
      <c r="AH23" s="20" t="str">
        <f>IF(AG23="","",AG23-AF23)</f>
        <v/>
      </c>
      <c r="AI23" s="18">
        <f>SUM(AI24:AI32)</f>
        <v>540000</v>
      </c>
      <c r="AJ23" s="19" t="str">
        <f>IF(COUNT(AJ18:AJ22,AJ24:AJ32)=0,"",SUM(AJ24:AJ32)+SUMPRODUCT((AJ24:AJ32="")*AI24:AI32))</f>
        <v/>
      </c>
      <c r="AK23" s="20" t="str">
        <f>IF(AJ23="","",AJ23-AI23)</f>
        <v/>
      </c>
    </row>
    <row r="24">
      <c r="A24" s="21" t="inlineStr">
        <is>
          <t>Оплата поставщику</t>
        </is>
      </c>
      <c r="B24" s="22" t="n">
        <v>520000</v>
      </c>
      <c r="C24" s="23" t="n">
        <v>520000</v>
      </c>
      <c r="D24" s="24">
        <f>IF(C24="","",C24-B24)</f>
        <v>0</v>
      </c>
      <c r="E24" s="22" t="n"/>
      <c r="F24" s="23" t="n"/>
      <c r="G24" s="24" t="str">
        <f>IF(F24="","",F24-E24)</f>
        <v/>
      </c>
      <c r="H24" s="22" t="n">
        <v>450000</v>
      </c>
      <c r="I24" s="23" t="n">
        <v>467800</v>
      </c>
      <c r="J24" s="24">
        <f>IF(I24="","",I24-H24)</f>
        <v>17800</v>
      </c>
      <c r="K24" s="22" t="n"/>
      <c r="L24" s="23" t="n"/>
      <c r="M24" s="24" t="str">
        <f>IF(L24="","",L24-K24)</f>
        <v/>
      </c>
      <c r="N24" s="22" t="n">
        <v>380000</v>
      </c>
      <c r="O24" s="23" t="n"/>
      <c r="P24" s="24" t="str">
        <f>IF(O24="","",O24-N24)</f>
        <v/>
      </c>
      <c r="Q24" s="22" t="n">
        <v>2600000</v>
      </c>
      <c r="R24" s="23" t="n"/>
      <c r="S24" s="24" t="str">
        <f>IF(R24="","",R24-Q24)</f>
        <v/>
      </c>
      <c r="T24" s="22" t="n"/>
      <c r="U24" s="23" t="n"/>
      <c r="V24" s="24" t="str">
        <f>IF(U24="","",U24-T24)</f>
        <v/>
      </c>
      <c r="W24" s="22" t="n"/>
      <c r="X24" s="23" t="n"/>
      <c r="Y24" s="24" t="str">
        <f>IF(X24="","",X24-W24)</f>
        <v/>
      </c>
      <c r="Z24" s="22" t="n">
        <v>480000</v>
      </c>
      <c r="AA24" s="23" t="n"/>
      <c r="AB24" s="24" t="str">
        <f>IF(AA24="","",AA24-Z24)</f>
        <v/>
      </c>
      <c r="AC24" s="22" t="n"/>
      <c r="AD24" s="23" t="n"/>
      <c r="AE24" s="24" t="str">
        <f>IF(AD24="","",AD24-AC24)</f>
        <v/>
      </c>
      <c r="AF24" s="22" t="n">
        <v>450000</v>
      </c>
      <c r="AG24" s="23" t="n"/>
      <c r="AH24" s="24" t="str">
        <f>IF(AG24="","",AG24-AF24)</f>
        <v/>
      </c>
      <c r="AI24" s="22" t="n"/>
      <c r="AJ24" s="23" t="n"/>
      <c r="AK24" s="24" t="str">
        <f>IF(AJ24="","",AJ24-AI24)</f>
        <v/>
      </c>
    </row>
    <row r="25">
      <c r="A25" s="21" t="inlineStr">
        <is>
          <t>Логистика и фулфилмент</t>
        </is>
      </c>
      <c r="B25" s="22" t="n">
        <v>175000</v>
      </c>
      <c r="C25" s="23" t="n">
        <v>195600</v>
      </c>
      <c r="D25" s="24">
        <f>IF(C25="","",C25-B25)</f>
        <v>20600</v>
      </c>
      <c r="E25" s="22" t="n">
        <v>165000</v>
      </c>
      <c r="F25" s="23" t="n">
        <v>171300</v>
      </c>
      <c r="G25" s="24">
        <f>IF(F25="","",F25-E25)</f>
        <v>6300</v>
      </c>
      <c r="H25" s="22" t="n">
        <v>180000</v>
      </c>
      <c r="I25" s="23" t="n">
        <v>207450</v>
      </c>
      <c r="J25" s="24">
        <f>IF(I25="","",I25-H25)</f>
        <v>27450</v>
      </c>
      <c r="K25" s="22" t="n">
        <v>170000</v>
      </c>
      <c r="L25" s="23" t="n">
        <v>186200</v>
      </c>
      <c r="M25" s="24">
        <f>IF(L25="","",L25-K25)</f>
        <v>16200</v>
      </c>
      <c r="N25" s="22" t="n">
        <v>165000</v>
      </c>
      <c r="O25" s="23" t="n"/>
      <c r="P25" s="24" t="str">
        <f>IF(O25="","",O25-N25)</f>
        <v/>
      </c>
      <c r="Q25" s="22" t="n">
        <v>160000</v>
      </c>
      <c r="R25" s="23" t="n"/>
      <c r="S25" s="24" t="str">
        <f>IF(R25="","",R25-Q25)</f>
        <v/>
      </c>
      <c r="T25" s="22" t="n">
        <v>150000</v>
      </c>
      <c r="U25" s="23" t="n"/>
      <c r="V25" s="24" t="str">
        <f>IF(U25="","",U25-T25)</f>
        <v/>
      </c>
      <c r="W25" s="22" t="n">
        <v>420000</v>
      </c>
      <c r="X25" s="23" t="n"/>
      <c r="Y25" s="24" t="str">
        <f>IF(X25="","",X25-W25)</f>
        <v/>
      </c>
      <c r="Z25" s="22" t="n">
        <v>190000</v>
      </c>
      <c r="AA25" s="23" t="n"/>
      <c r="AB25" s="24" t="str">
        <f>IF(AA25="","",AA25-Z25)</f>
        <v/>
      </c>
      <c r="AC25" s="22" t="n">
        <v>195000</v>
      </c>
      <c r="AD25" s="23" t="n"/>
      <c r="AE25" s="24" t="str">
        <f>IF(AD25="","",AD25-AC25)</f>
        <v/>
      </c>
      <c r="AF25" s="22" t="n">
        <v>200000</v>
      </c>
      <c r="AG25" s="23" t="n"/>
      <c r="AH25" s="24" t="str">
        <f>IF(AG25="","",AG25-AF25)</f>
        <v/>
      </c>
      <c r="AI25" s="22" t="n">
        <v>205000</v>
      </c>
      <c r="AJ25" s="23" t="n"/>
      <c r="AK25" s="24" t="str">
        <f>IF(AJ25="","",AJ25-AI25)</f>
        <v/>
      </c>
    </row>
    <row r="26">
      <c r="A26" s="21" t="inlineStr">
        <is>
          <t>Реклама вне МП</t>
        </is>
      </c>
      <c r="B26" s="22" t="n"/>
      <c r="C26" s="23" t="n"/>
      <c r="D26" s="24" t="str">
        <f>IF(C26="","",C26-B26)</f>
        <v/>
      </c>
      <c r="E26" s="22" t="n">
        <v>120000</v>
      </c>
      <c r="F26" s="23" t="n">
        <v>120000</v>
      </c>
      <c r="G26" s="24">
        <f>IF(F26="","",F26-E26)</f>
        <v>0</v>
      </c>
      <c r="H26" s="22" t="n"/>
      <c r="I26" s="23" t="n"/>
      <c r="J26" s="24" t="str">
        <f>IF(I26="","",I26-H26)</f>
        <v/>
      </c>
      <c r="K26" s="22" t="n">
        <v>120000</v>
      </c>
      <c r="L26" s="23" t="n">
        <v>165000</v>
      </c>
      <c r="M26" s="24">
        <f>IF(L26="","",L26-K26)</f>
        <v>45000</v>
      </c>
      <c r="N26" s="22" t="n"/>
      <c r="O26" s="23" t="n"/>
      <c r="P26" s="24" t="str">
        <f>IF(O26="","",O26-N26)</f>
        <v/>
      </c>
      <c r="Q26" s="22" t="n">
        <v>120000</v>
      </c>
      <c r="R26" s="23" t="n"/>
      <c r="S26" s="24" t="str">
        <f>IF(R26="","",R26-Q26)</f>
        <v/>
      </c>
      <c r="T26" s="22" t="n"/>
      <c r="U26" s="23" t="n"/>
      <c r="V26" s="24" t="str">
        <f>IF(U26="","",U26-T26)</f>
        <v/>
      </c>
      <c r="W26" s="22" t="n">
        <v>120000</v>
      </c>
      <c r="X26" s="23" t="n"/>
      <c r="Y26" s="24" t="str">
        <f>IF(X26="","",X26-W26)</f>
        <v/>
      </c>
      <c r="Z26" s="22" t="n"/>
      <c r="AA26" s="23" t="n"/>
      <c r="AB26" s="24" t="str">
        <f>IF(AA26="","",AA26-Z26)</f>
        <v/>
      </c>
      <c r="AC26" s="22" t="n">
        <v>120000</v>
      </c>
      <c r="AD26" s="23" t="n"/>
      <c r="AE26" s="24" t="str">
        <f>IF(AD26="","",AD26-AC26)</f>
        <v/>
      </c>
      <c r="AF26" s="22" t="n"/>
      <c r="AG26" s="23" t="n"/>
      <c r="AH26" s="24" t="str">
        <f>IF(AG26="","",AG26-AF26)</f>
        <v/>
      </c>
      <c r="AI26" s="22" t="n">
        <v>120000</v>
      </c>
      <c r="AJ26" s="23" t="n"/>
      <c r="AK26" s="24" t="str">
        <f>IF(AJ26="","",AJ26-AI26)</f>
        <v/>
      </c>
    </row>
    <row r="27">
      <c r="A27" s="21" t="inlineStr">
        <is>
          <t>Зарплата</t>
        </is>
      </c>
      <c r="B27" s="22" t="n">
        <v>260000</v>
      </c>
      <c r="C27" s="23" t="n">
        <v>260000</v>
      </c>
      <c r="D27" s="24">
        <f>IF(C27="","",C27-B27)</f>
        <v>0</v>
      </c>
      <c r="E27" s="22" t="n"/>
      <c r="F27" s="23" t="n"/>
      <c r="G27" s="24" t="str">
        <f>IF(F27="","",F27-E27)</f>
        <v/>
      </c>
      <c r="H27" s="22" t="n">
        <v>340000</v>
      </c>
      <c r="I27" s="23" t="n">
        <v>340000</v>
      </c>
      <c r="J27" s="24">
        <f>IF(I27="","",I27-H27)</f>
        <v>0</v>
      </c>
      <c r="K27" s="22" t="n"/>
      <c r="L27" s="23" t="n"/>
      <c r="M27" s="24" t="str">
        <f>IF(L27="","",L27-K27)</f>
        <v/>
      </c>
      <c r="N27" s="22" t="n">
        <v>260000</v>
      </c>
      <c r="O27" s="23" t="n"/>
      <c r="P27" s="24" t="str">
        <f>IF(O27="","",O27-N27)</f>
        <v/>
      </c>
      <c r="Q27" s="22" t="n"/>
      <c r="R27" s="23" t="n"/>
      <c r="S27" s="24" t="str">
        <f>IF(R27="","",R27-Q27)</f>
        <v/>
      </c>
      <c r="T27" s="22" t="n">
        <v>340000</v>
      </c>
      <c r="U27" s="23" t="n"/>
      <c r="V27" s="24" t="str">
        <f>IF(U27="","",U27-T27)</f>
        <v/>
      </c>
      <c r="W27" s="22" t="n"/>
      <c r="X27" s="23" t="n"/>
      <c r="Y27" s="24" t="str">
        <f>IF(X27="","",X27-W27)</f>
        <v/>
      </c>
      <c r="Z27" s="22" t="n">
        <v>260000</v>
      </c>
      <c r="AA27" s="23" t="n"/>
      <c r="AB27" s="24" t="str">
        <f>IF(AA27="","",AA27-Z27)</f>
        <v/>
      </c>
      <c r="AC27" s="22" t="n"/>
      <c r="AD27" s="23" t="n"/>
      <c r="AE27" s="24" t="str">
        <f>IF(AD27="","",AD27-AC27)</f>
        <v/>
      </c>
      <c r="AF27" s="22" t="n">
        <v>340000</v>
      </c>
      <c r="AG27" s="23" t="n"/>
      <c r="AH27" s="24" t="str">
        <f>IF(AG27="","",AG27-AF27)</f>
        <v/>
      </c>
      <c r="AI27" s="22" t="n"/>
      <c r="AJ27" s="23" t="n"/>
      <c r="AK27" s="24" t="str">
        <f>IF(AJ27="","",AJ27-AI27)</f>
        <v/>
      </c>
    </row>
    <row r="28">
      <c r="A28" s="21" t="inlineStr">
        <is>
          <t>Налоги</t>
        </is>
      </c>
      <c r="B28" s="22" t="n"/>
      <c r="C28" s="23" t="n"/>
      <c r="D28" s="24" t="str">
        <f>IF(C28="","",C28-B28)</f>
        <v/>
      </c>
      <c r="E28" s="22" t="n"/>
      <c r="F28" s="23" t="n"/>
      <c r="G28" s="24" t="str">
        <f>IF(F28="","",F28-E28)</f>
        <v/>
      </c>
      <c r="H28" s="22" t="n"/>
      <c r="I28" s="23" t="n"/>
      <c r="J28" s="24" t="str">
        <f>IF(I28="","",I28-H28)</f>
        <v/>
      </c>
      <c r="K28" s="22" t="n">
        <v>180000</v>
      </c>
      <c r="L28" s="23" t="n">
        <v>180000</v>
      </c>
      <c r="M28" s="24">
        <f>IF(L28="","",L28-K28)</f>
        <v>0</v>
      </c>
      <c r="N28" s="22" t="n"/>
      <c r="O28" s="23" t="n"/>
      <c r="P28" s="24" t="str">
        <f>IF(O28="","",O28-N28)</f>
        <v/>
      </c>
      <c r="Q28" s="22" t="n"/>
      <c r="R28" s="23" t="n"/>
      <c r="S28" s="24" t="str">
        <f>IF(R28="","",R28-Q28)</f>
        <v/>
      </c>
      <c r="T28" s="22" t="n">
        <v>360000</v>
      </c>
      <c r="U28" s="23" t="n"/>
      <c r="V28" s="24" t="str">
        <f>IF(U28="","",U28-T28)</f>
        <v/>
      </c>
      <c r="W28" s="22" t="n"/>
      <c r="X28" s="23" t="n"/>
      <c r="Y28" s="24" t="str">
        <f>IF(X28="","",X28-W28)</f>
        <v/>
      </c>
      <c r="Z28" s="22" t="n"/>
      <c r="AA28" s="23" t="n"/>
      <c r="AB28" s="24" t="str">
        <f>IF(AA28="","",AA28-Z28)</f>
        <v/>
      </c>
      <c r="AC28" s="22" t="n"/>
      <c r="AD28" s="23" t="n"/>
      <c r="AE28" s="24" t="str">
        <f>IF(AD28="","",AD28-AC28)</f>
        <v/>
      </c>
      <c r="AF28" s="22" t="n"/>
      <c r="AG28" s="23" t="n"/>
      <c r="AH28" s="24" t="str">
        <f>IF(AG28="","",AG28-AF28)</f>
        <v/>
      </c>
      <c r="AI28" s="22" t="n">
        <v>180000</v>
      </c>
      <c r="AJ28" s="23" t="n"/>
      <c r="AK28" s="24" t="str">
        <f>IF(AJ28="","",AJ28-AI28)</f>
        <v/>
      </c>
    </row>
    <row r="29">
      <c r="A29" s="21" t="inlineStr">
        <is>
          <t>Проценты и тело кредитов</t>
        </is>
      </c>
      <c r="B29" s="22" t="n"/>
      <c r="C29" s="23" t="n"/>
      <c r="D29" s="24" t="str">
        <f>IF(C29="","",C29-B29)</f>
        <v/>
      </c>
      <c r="E29" s="22" t="n">
        <v>240000</v>
      </c>
      <c r="F29" s="23" t="n">
        <v>240000</v>
      </c>
      <c r="G29" s="24">
        <f>IF(F29="","",F29-E29)</f>
        <v>0</v>
      </c>
      <c r="H29" s="22" t="n"/>
      <c r="I29" s="23" t="n"/>
      <c r="J29" s="24" t="str">
        <f>IF(I29="","",I29-H29)</f>
        <v/>
      </c>
      <c r="K29" s="22" t="n"/>
      <c r="L29" s="23" t="n"/>
      <c r="M29" s="24" t="str">
        <f>IF(L29="","",L29-K29)</f>
        <v/>
      </c>
      <c r="N29" s="22" t="n"/>
      <c r="O29" s="23" t="n"/>
      <c r="P29" s="24" t="str">
        <f>IF(O29="","",O29-N29)</f>
        <v/>
      </c>
      <c r="Q29" s="22" t="n">
        <v>240000</v>
      </c>
      <c r="R29" s="23" t="n"/>
      <c r="S29" s="24" t="str">
        <f>IF(R29="","",R29-Q29)</f>
        <v/>
      </c>
      <c r="T29" s="22" t="n"/>
      <c r="U29" s="23" t="n"/>
      <c r="V29" s="24" t="str">
        <f>IF(U29="","",U29-T29)</f>
        <v/>
      </c>
      <c r="W29" s="22" t="n"/>
      <c r="X29" s="23" t="n"/>
      <c r="Y29" s="24" t="str">
        <f>IF(X29="","",X29-W29)</f>
        <v/>
      </c>
      <c r="Z29" s="22" t="n"/>
      <c r="AA29" s="23" t="n"/>
      <c r="AB29" s="24" t="str">
        <f>IF(AA29="","",AA29-Z29)</f>
        <v/>
      </c>
      <c r="AC29" s="22" t="n">
        <v>240000</v>
      </c>
      <c r="AD29" s="23" t="n"/>
      <c r="AE29" s="24" t="str">
        <f>IF(AD29="","",AD29-AC29)</f>
        <v/>
      </c>
      <c r="AF29" s="22" t="n"/>
      <c r="AG29" s="23" t="n"/>
      <c r="AH29" s="24" t="str">
        <f>IF(AG29="","",AG29-AF29)</f>
        <v/>
      </c>
      <c r="AI29" s="22" t="n"/>
      <c r="AJ29" s="23" t="n"/>
      <c r="AK29" s="24" t="str">
        <f>IF(AJ29="","",AJ29-AI29)</f>
        <v/>
      </c>
    </row>
    <row r="30">
      <c r="A30" s="21" t="inlineStr">
        <is>
          <t>Прочие расходы</t>
        </is>
      </c>
      <c r="B30" s="22" t="n">
        <v>150000</v>
      </c>
      <c r="C30" s="23" t="n">
        <v>163400</v>
      </c>
      <c r="D30" s="24">
        <f>IF(C30="","",C30-B30)</f>
        <v>13400</v>
      </c>
      <c r="E30" s="22" t="n">
        <v>35000</v>
      </c>
      <c r="F30" s="23" t="n">
        <v>46900</v>
      </c>
      <c r="G30" s="24">
        <f>IF(F30="","",F30-E30)</f>
        <v>11900</v>
      </c>
      <c r="H30" s="22" t="n">
        <v>35000</v>
      </c>
      <c r="I30" s="23" t="n">
        <v>31200</v>
      </c>
      <c r="J30" s="24">
        <f>IF(I30="","",I30-H30)</f>
        <v>-3800</v>
      </c>
      <c r="K30" s="22" t="n">
        <v>35000</v>
      </c>
      <c r="L30" s="23" t="n">
        <v>52300</v>
      </c>
      <c r="M30" s="24">
        <f>IF(L30="","",L30-K30)</f>
        <v>17300</v>
      </c>
      <c r="N30" s="22" t="n">
        <v>150000</v>
      </c>
      <c r="O30" s="23" t="n"/>
      <c r="P30" s="24" t="str">
        <f>IF(O30="","",O30-N30)</f>
        <v/>
      </c>
      <c r="Q30" s="22" t="n">
        <v>35000</v>
      </c>
      <c r="R30" s="23" t="n"/>
      <c r="S30" s="24" t="str">
        <f>IF(R30="","",R30-Q30)</f>
        <v/>
      </c>
      <c r="T30" s="22" t="n">
        <v>35000</v>
      </c>
      <c r="U30" s="23" t="n"/>
      <c r="V30" s="24" t="str">
        <f>IF(U30="","",U30-T30)</f>
        <v/>
      </c>
      <c r="W30" s="22" t="n">
        <v>35000</v>
      </c>
      <c r="X30" s="23" t="n"/>
      <c r="Y30" s="24" t="str">
        <f>IF(X30="","",X30-W30)</f>
        <v/>
      </c>
      <c r="Z30" s="22" t="n">
        <v>150000</v>
      </c>
      <c r="AA30" s="23" t="n"/>
      <c r="AB30" s="24" t="str">
        <f>IF(AA30="","",AA30-Z30)</f>
        <v/>
      </c>
      <c r="AC30" s="22" t="n">
        <v>35000</v>
      </c>
      <c r="AD30" s="23" t="n"/>
      <c r="AE30" s="24" t="str">
        <f>IF(AD30="","",AD30-AC30)</f>
        <v/>
      </c>
      <c r="AF30" s="22" t="n">
        <v>35000</v>
      </c>
      <c r="AG30" s="23" t="n"/>
      <c r="AH30" s="24" t="str">
        <f>IF(AG30="","",AG30-AF30)</f>
        <v/>
      </c>
      <c r="AI30" s="22" t="n">
        <v>35000</v>
      </c>
      <c r="AJ30" s="23" t="n"/>
      <c r="AK30" s="24" t="str">
        <f>IF(AJ30="","",AJ30-AI30)</f>
        <v/>
      </c>
    </row>
    <row r="31">
      <c r="A31" s="21" t="n"/>
      <c r="B31" s="22" t="n"/>
      <c r="C31" s="23" t="n"/>
      <c r="D31" s="24" t="str">
        <f>IF(C31="","",C31-B31)</f>
        <v/>
      </c>
      <c r="E31" s="22" t="n"/>
      <c r="F31" s="23" t="n"/>
      <c r="G31" s="24" t="str">
        <f>IF(F31="","",F31-E31)</f>
        <v/>
      </c>
      <c r="H31" s="22" t="n"/>
      <c r="I31" s="23" t="n"/>
      <c r="J31" s="24" t="str">
        <f>IF(I31="","",I31-H31)</f>
        <v/>
      </c>
      <c r="K31" s="22" t="n"/>
      <c r="L31" s="23" t="n"/>
      <c r="M31" s="24" t="str">
        <f>IF(L31="","",L31-K31)</f>
        <v/>
      </c>
      <c r="N31" s="22" t="n"/>
      <c r="O31" s="23" t="n"/>
      <c r="P31" s="24" t="str">
        <f>IF(O31="","",O31-N31)</f>
        <v/>
      </c>
      <c r="Q31" s="22" t="n"/>
      <c r="R31" s="23" t="n"/>
      <c r="S31" s="24" t="str">
        <f>IF(R31="","",R31-Q31)</f>
        <v/>
      </c>
      <c r="T31" s="22" t="n"/>
      <c r="U31" s="23" t="n"/>
      <c r="V31" s="24" t="str">
        <f>IF(U31="","",U31-T31)</f>
        <v/>
      </c>
      <c r="W31" s="22" t="n"/>
      <c r="X31" s="23" t="n"/>
      <c r="Y31" s="24" t="str">
        <f>IF(X31="","",X31-W31)</f>
        <v/>
      </c>
      <c r="Z31" s="22" t="n"/>
      <c r="AA31" s="23" t="n"/>
      <c r="AB31" s="24" t="str">
        <f>IF(AA31="","",AA31-Z31)</f>
        <v/>
      </c>
      <c r="AC31" s="22" t="n"/>
      <c r="AD31" s="23" t="n"/>
      <c r="AE31" s="24" t="str">
        <f>IF(AD31="","",AD31-AC31)</f>
        <v/>
      </c>
      <c r="AF31" s="22" t="n"/>
      <c r="AG31" s="23" t="n"/>
      <c r="AH31" s="24" t="str">
        <f>IF(AG31="","",AG31-AF31)</f>
        <v/>
      </c>
      <c r="AI31" s="22" t="n"/>
      <c r="AJ31" s="23" t="n"/>
      <c r="AK31" s="24" t="str">
        <f>IF(AJ31="","",AJ31-AI31)</f>
        <v/>
      </c>
    </row>
    <row r="32">
      <c r="A32" s="21" t="n"/>
      <c r="B32" s="22" t="n"/>
      <c r="C32" s="23" t="n"/>
      <c r="D32" s="24" t="str">
        <f>IF(C32="","",C32-B32)</f>
        <v/>
      </c>
      <c r="E32" s="22" t="n"/>
      <c r="F32" s="23" t="n"/>
      <c r="G32" s="24" t="str">
        <f>IF(F32="","",F32-E32)</f>
        <v/>
      </c>
      <c r="H32" s="22" t="n"/>
      <c r="I32" s="23" t="n"/>
      <c r="J32" s="24" t="str">
        <f>IF(I32="","",I32-H32)</f>
        <v/>
      </c>
      <c r="K32" s="22" t="n"/>
      <c r="L32" s="23" t="n"/>
      <c r="M32" s="24" t="str">
        <f>IF(L32="","",L32-K32)</f>
        <v/>
      </c>
      <c r="N32" s="22" t="n"/>
      <c r="O32" s="23" t="n"/>
      <c r="P32" s="24" t="str">
        <f>IF(O32="","",O32-N32)</f>
        <v/>
      </c>
      <c r="Q32" s="22" t="n"/>
      <c r="R32" s="23" t="n"/>
      <c r="S32" s="24" t="str">
        <f>IF(R32="","",R32-Q32)</f>
        <v/>
      </c>
      <c r="T32" s="22" t="n"/>
      <c r="U32" s="23" t="n"/>
      <c r="V32" s="24" t="str">
        <f>IF(U32="","",U32-T32)</f>
        <v/>
      </c>
      <c r="W32" s="22" t="n"/>
      <c r="X32" s="23" t="n"/>
      <c r="Y32" s="24" t="str">
        <f>IF(X32="","",X32-W32)</f>
        <v/>
      </c>
      <c r="Z32" s="22" t="n"/>
      <c r="AA32" s="23" t="n"/>
      <c r="AB32" s="24" t="str">
        <f>IF(AA32="","",AA32-Z32)</f>
        <v/>
      </c>
      <c r="AC32" s="22" t="n"/>
      <c r="AD32" s="23" t="n"/>
      <c r="AE32" s="24" t="str">
        <f>IF(AD32="","",AD32-AC32)</f>
        <v/>
      </c>
      <c r="AF32" s="22" t="n"/>
      <c r="AG32" s="23" t="n"/>
      <c r="AH32" s="24" t="str">
        <f>IF(AG32="","",AG32-AF32)</f>
        <v/>
      </c>
      <c r="AI32" s="22" t="n"/>
      <c r="AJ32" s="23" t="n"/>
      <c r="AK32" s="24" t="str">
        <f>IF(AJ32="","",AJ32-AI32)</f>
        <v/>
      </c>
    </row>
    <row r="33">
      <c r="A33" s="25" t="inlineStr">
        <is>
          <t>Чистый поток (приходы − расходы)</t>
        </is>
      </c>
      <c r="B33" s="26">
        <f>B17-B23</f>
        <v>-25000</v>
      </c>
      <c r="C33" s="27">
        <f>IF(C17="","",C17-C23)</f>
        <v>-126540</v>
      </c>
      <c r="D33" s="24">
        <f>IF(C33="","",C33-B33)</f>
        <v>-101540</v>
      </c>
      <c r="E33" s="26">
        <f>E17-E23</f>
        <v>560000</v>
      </c>
      <c r="F33" s="27">
        <f>IF(F17="","",F17-F23)</f>
        <v>608100</v>
      </c>
      <c r="G33" s="24">
        <f>IF(F33="","",F33-E33)</f>
        <v>48100</v>
      </c>
      <c r="H33" s="26">
        <f>H17-H23</f>
        <v>115000</v>
      </c>
      <c r="I33" s="27">
        <f>IF(I17="","",I17-I23)</f>
        <v>-18240</v>
      </c>
      <c r="J33" s="24">
        <f>IF(I33="","",I33-H33)</f>
        <v>-133240</v>
      </c>
      <c r="K33" s="26">
        <f>K17-K23</f>
        <v>505000</v>
      </c>
      <c r="L33" s="27">
        <f>IF(L17="","",L17-L23)</f>
        <v>377440</v>
      </c>
      <c r="M33" s="24">
        <f>IF(L33="","",L33-K33)</f>
        <v>-127560</v>
      </c>
      <c r="N33" s="26">
        <f>N17-N23</f>
        <v>25000</v>
      </c>
      <c r="O33" s="27" t="str">
        <f>IF(O17="","",O17-O23)</f>
        <v/>
      </c>
      <c r="P33" s="24" t="str">
        <f>IF(O33="","",O33-N33)</f>
        <v/>
      </c>
      <c r="Q33" s="26">
        <f>Q17-Q23</f>
        <v>-2215000</v>
      </c>
      <c r="R33" s="27" t="str">
        <f>IF(R17="","",R17-R23)</f>
        <v/>
      </c>
      <c r="S33" s="24" t="str">
        <f>IF(R33="","",R33-Q33)</f>
        <v/>
      </c>
      <c r="T33" s="26">
        <f>T17-T23</f>
        <v>35000</v>
      </c>
      <c r="U33" s="27" t="str">
        <f>IF(U17="","",U17-U23)</f>
        <v/>
      </c>
      <c r="V33" s="24" t="str">
        <f>IF(U33="","",U33-T33)</f>
        <v/>
      </c>
      <c r="W33" s="26">
        <f>W17-W23</f>
        <v>385000</v>
      </c>
      <c r="X33" s="27" t="str">
        <f>IF(X17="","",X17-X23)</f>
        <v/>
      </c>
      <c r="Y33" s="24" t="str">
        <f>IF(X33="","",X33-W33)</f>
        <v/>
      </c>
      <c r="Z33" s="26">
        <f>Z17-Z23</f>
        <v>0</v>
      </c>
      <c r="AA33" s="27" t="str">
        <f>IF(AA17="","",AA17-AA23)</f>
        <v/>
      </c>
      <c r="AB33" s="24" t="str">
        <f>IF(AA33="","",AA33-Z33)</f>
        <v/>
      </c>
      <c r="AC33" s="26">
        <f>AC17-AC23</f>
        <v>610000</v>
      </c>
      <c r="AD33" s="27" t="str">
        <f>IF(AD17="","",AD17-AD23)</f>
        <v/>
      </c>
      <c r="AE33" s="24" t="str">
        <f>IF(AD33="","",AD33-AC33)</f>
        <v/>
      </c>
      <c r="AF33" s="26">
        <f>AF17-AF23</f>
        <v>255000</v>
      </c>
      <c r="AG33" s="27" t="str">
        <f>IF(AG17="","",AG17-AG23)</f>
        <v/>
      </c>
      <c r="AH33" s="24" t="str">
        <f>IF(AG33="","",AG33-AF33)</f>
        <v/>
      </c>
      <c r="AI33" s="26">
        <f>AI17-AI23</f>
        <v>780000</v>
      </c>
      <c r="AJ33" s="27" t="str">
        <f>IF(AJ17="","",AJ17-AJ23)</f>
        <v/>
      </c>
      <c r="AK33" s="24" t="str">
        <f>IF(AJ33="","",AJ33-AI33)</f>
        <v/>
      </c>
    </row>
    <row r="34">
      <c r="A34" s="13" t="inlineStr">
        <is>
          <t>Остаток на конец (факт, дальше — прогноз)</t>
        </is>
      </c>
      <c r="B34" s="14">
        <f>B16+B33</f>
        <v>1165000</v>
      </c>
      <c r="C34" s="15">
        <f>C16+IF(C33="",B33,C33)</f>
        <v>1063460</v>
      </c>
      <c r="D34" s="16">
        <f>C34-B34</f>
        <v>-101540</v>
      </c>
      <c r="E34" s="14">
        <f>E16+E33</f>
        <v>1725000</v>
      </c>
      <c r="F34" s="15">
        <f>F16+IF(F33="",E33,F33)</f>
        <v>1671560</v>
      </c>
      <c r="G34" s="16">
        <f>F34-E34</f>
        <v>-53440</v>
      </c>
      <c r="H34" s="14">
        <f>H16+H33</f>
        <v>1840000</v>
      </c>
      <c r="I34" s="15">
        <f>I16+IF(I33="",H33,I33)</f>
        <v>1653320</v>
      </c>
      <c r="J34" s="16">
        <f>I34-H34</f>
        <v>-186680</v>
      </c>
      <c r="K34" s="14">
        <f>K16+K33</f>
        <v>2345000</v>
      </c>
      <c r="L34" s="15">
        <f>L16+IF(L33="",K33,L33)</f>
        <v>2030760</v>
      </c>
      <c r="M34" s="16">
        <f>L34-K34</f>
        <v>-314240</v>
      </c>
      <c r="N34" s="14">
        <f>N16+N33</f>
        <v>2370000</v>
      </c>
      <c r="O34" s="15">
        <f>O16+IF(O33="",N33,O33)</f>
        <v>2055760</v>
      </c>
      <c r="P34" s="16">
        <f>O34-N34</f>
        <v>-314240</v>
      </c>
      <c r="Q34" s="14">
        <f>Q16+Q33</f>
        <v>155000</v>
      </c>
      <c r="R34" s="15">
        <f>R16+IF(R33="",Q33,R33)</f>
        <v>-159240</v>
      </c>
      <c r="S34" s="16">
        <f>R34-Q34</f>
        <v>-314240</v>
      </c>
      <c r="T34" s="14">
        <f>T16+T33</f>
        <v>190000</v>
      </c>
      <c r="U34" s="15">
        <f>U16+IF(U33="",T33,U33)</f>
        <v>-124240</v>
      </c>
      <c r="V34" s="16">
        <f>U34-T34</f>
        <v>-314240</v>
      </c>
      <c r="W34" s="14">
        <f>W16+W33</f>
        <v>575000</v>
      </c>
      <c r="X34" s="15">
        <f>X16+IF(X33="",W33,X33)</f>
        <v>260760</v>
      </c>
      <c r="Y34" s="16">
        <f>X34-W34</f>
        <v>-314240</v>
      </c>
      <c r="Z34" s="14">
        <f>Z16+Z33</f>
        <v>575000</v>
      </c>
      <c r="AA34" s="15">
        <f>AA16+IF(AA33="",Z33,AA33)</f>
        <v>260760</v>
      </c>
      <c r="AB34" s="16">
        <f>AA34-Z34</f>
        <v>-314240</v>
      </c>
      <c r="AC34" s="14">
        <f>AC16+AC33</f>
        <v>1185000</v>
      </c>
      <c r="AD34" s="15">
        <f>AD16+IF(AD33="",AC33,AD33)</f>
        <v>870760</v>
      </c>
      <c r="AE34" s="16">
        <f>AD34-AC34</f>
        <v>-314240</v>
      </c>
      <c r="AF34" s="14">
        <f>AF16+AF33</f>
        <v>1440000</v>
      </c>
      <c r="AG34" s="15">
        <f>AG16+IF(AG33="",AF33,AG33)</f>
        <v>1125760</v>
      </c>
      <c r="AH34" s="16">
        <f>AG34-AF34</f>
        <v>-314240</v>
      </c>
      <c r="AI34" s="14">
        <f>AI16+AI33</f>
        <v>2220000</v>
      </c>
      <c r="AJ34" s="15">
        <f>AJ16+IF(AJ33="",AI33,AJ33)</f>
        <v>1905760</v>
      </c>
      <c r="AK34" s="16">
        <f>AJ34-AI34</f>
        <v>-314240</v>
      </c>
    </row>
    <row r="35">
      <c r="A35" s="28" t="inlineStr">
        <is>
          <t>Статус недели</t>
        </is>
      </c>
      <c r="B35" s="29" t="n"/>
      <c r="C35" s="30" t="str">
        <f>IF(C34&lt;0,"разрыв",IF(C34&lt;$B$6,"ниже неснижаемого",IF(C33="","прогноз","факт")))</f>
        <v>факт</v>
      </c>
      <c r="D35" s="31" t="n"/>
      <c r="E35" s="29" t="n"/>
      <c r="F35" s="30" t="str">
        <f>IF(F34&lt;0,"разрыв",IF(F34&lt;$B$6,"ниже неснижаемого",IF(F33="","прогноз","факт")))</f>
        <v>факт</v>
      </c>
      <c r="G35" s="31" t="n"/>
      <c r="H35" s="29" t="n"/>
      <c r="I35" s="30" t="str">
        <f>IF(I34&lt;0,"разрыв",IF(I34&lt;$B$6,"ниже неснижаемого",IF(I33="","прогноз","факт")))</f>
        <v>факт</v>
      </c>
      <c r="J35" s="31" t="n"/>
      <c r="K35" s="29" t="n"/>
      <c r="L35" s="30" t="str">
        <f>IF(L34&lt;0,"разрыв",IF(L34&lt;$B$6,"ниже неснижаемого",IF(L33="","прогноз","факт")))</f>
        <v>факт</v>
      </c>
      <c r="M35" s="31" t="n"/>
      <c r="N35" s="29" t="n"/>
      <c r="O35" s="30" t="str">
        <f>IF(O34&lt;0,"разрыв",IF(O34&lt;$B$6,"ниже неснижаемого",IF(O33="","прогноз","факт")))</f>
        <v>прогноз</v>
      </c>
      <c r="P35" s="31" t="n"/>
      <c r="Q35" s="29" t="n"/>
      <c r="R35" s="30" t="str">
        <f>IF(R34&lt;0,"разрыв",IF(R34&lt;$B$6,"ниже неснижаемого",IF(R33="","прогноз","факт")))</f>
        <v>разрыв</v>
      </c>
      <c r="S35" s="31" t="n"/>
      <c r="T35" s="29" t="n"/>
      <c r="U35" s="30" t="str">
        <f>IF(U34&lt;0,"разрыв",IF(U34&lt;$B$6,"ниже неснижаемого",IF(U33="","прогноз","факт")))</f>
        <v>разрыв</v>
      </c>
      <c r="V35" s="31" t="n"/>
      <c r="W35" s="29" t="n"/>
      <c r="X35" s="30" t="str">
        <f>IF(X34&lt;0,"разрыв",IF(X34&lt;$B$6,"ниже неснижаемого",IF(X33="","прогноз","факт")))</f>
        <v>ниже неснижаемого</v>
      </c>
      <c r="Y35" s="31" t="n"/>
      <c r="Z35" s="29" t="n"/>
      <c r="AA35" s="30" t="str">
        <f>IF(AA34&lt;0,"разрыв",IF(AA34&lt;$B$6,"ниже неснижаемого",IF(AA33="","прогноз","факт")))</f>
        <v>ниже неснижаемого</v>
      </c>
      <c r="AB35" s="31" t="n"/>
      <c r="AC35" s="29" t="n"/>
      <c r="AD35" s="30" t="str">
        <f>IF(AD34&lt;0,"разрыв",IF(AD34&lt;$B$6,"ниже неснижаемого",IF(AD33="","прогноз","факт")))</f>
        <v>прогноз</v>
      </c>
      <c r="AE35" s="31" t="n"/>
      <c r="AF35" s="29" t="n"/>
      <c r="AG35" s="30" t="str">
        <f>IF(AG34&lt;0,"разрыв",IF(AG34&lt;$B$6,"ниже неснижаемого",IF(AG33="","прогноз","факт")))</f>
        <v>прогноз</v>
      </c>
      <c r="AH35" s="31" t="n"/>
      <c r="AI35" s="29" t="n"/>
      <c r="AJ35" s="30" t="str">
        <f>IF(AJ34&lt;0,"разрыв",IF(AJ34&lt;$B$6,"ниже неснижаемого",IF(AJ33="","прогноз","факт")))</f>
        <v>прогноз</v>
      </c>
      <c r="AK35" s="31" t="n"/>
    </row>
    <row r="36" hidden="1">
      <c r="A36" s="28" t="inlineStr">
        <is>
          <t>Служебная строка для сводки — не удалять</t>
        </is>
      </c>
      <c r="C36" s="32">
        <f>C34</f>
        <v>1063460</v>
      </c>
      <c r="F36" s="32">
        <f>F34</f>
        <v>1671560</v>
      </c>
      <c r="I36" s="32">
        <f>I34</f>
        <v>1653320</v>
      </c>
      <c r="L36" s="32">
        <f>L34</f>
        <v>2030760</v>
      </c>
      <c r="O36" s="32">
        <f>O34</f>
        <v>2055760</v>
      </c>
      <c r="R36" s="32">
        <f>R34</f>
        <v>-159240</v>
      </c>
      <c r="U36" s="32">
        <f>U34</f>
        <v>-124240</v>
      </c>
      <c r="X36" s="32">
        <f>X34</f>
        <v>260760</v>
      </c>
      <c r="AA36" s="32">
        <f>AA34</f>
        <v>260760</v>
      </c>
      <c r="AD36" s="32">
        <f>AD34</f>
        <v>870760</v>
      </c>
      <c r="AG36" s="32">
        <f>AG34</f>
        <v>1125760</v>
      </c>
      <c r="AJ36" s="32">
        <f>AJ34</f>
        <v>1905760</v>
      </c>
    </row>
  </sheetData>
  <mergeCells count="25">
    <mergeCell ref="Q14:S14"/>
    <mergeCell ref="B14:D14"/>
    <mergeCell ref="E13:G13"/>
    <mergeCell ref="AC14:AE14"/>
    <mergeCell ref="N14:P14"/>
    <mergeCell ref="B13:D13"/>
    <mergeCell ref="A13:A15"/>
    <mergeCell ref="Z14:AB14"/>
    <mergeCell ref="AF14:AH14"/>
    <mergeCell ref="H13:J13"/>
    <mergeCell ref="K14:M14"/>
    <mergeCell ref="N13:P13"/>
    <mergeCell ref="T13:V13"/>
    <mergeCell ref="Z13:AB13"/>
    <mergeCell ref="W14:Y14"/>
    <mergeCell ref="H14:J14"/>
    <mergeCell ref="K13:M13"/>
    <mergeCell ref="AF13:AH13"/>
    <mergeCell ref="AI14:AK14"/>
    <mergeCell ref="Q13:S13"/>
    <mergeCell ref="W13:Y13"/>
    <mergeCell ref="AI13:AK13"/>
    <mergeCell ref="T14:V14"/>
    <mergeCell ref="E14:G14"/>
    <mergeCell ref="AC13:AE13"/>
  </mergeCells>
  <conditionalFormatting sqref="B34:C34 E34:F34 H34:I34 K34:L34 N34:O34 Q34:R34 T34:U34 W34:X34 Z34:AA34 AC34:AD34 AF34:AG34 AI34:AJ34">
    <cfRule type="cellIs" priority="1" operator="lessThan" dxfId="0" stopIfTrue="1">
      <formula>0</formula>
    </cfRule>
    <cfRule type="cellIs" priority="2" operator="lessThan" dxfId="1">
      <formula>$B$6</formula>
    </cfRule>
  </conditionalFormatting>
  <conditionalFormatting sqref="B13:D15">
    <cfRule type="expression" priority="3" dxfId="2">
      <formula>$C$34&lt;0</formula>
    </cfRule>
  </conditionalFormatting>
  <conditionalFormatting sqref="C35">
    <cfRule type="expression" priority="4" dxfId="3">
      <formula>$C$34&lt;0</formula>
    </cfRule>
  </conditionalFormatting>
  <conditionalFormatting sqref="E13:G15">
    <cfRule type="expression" priority="5" dxfId="2">
      <formula>$F$34&lt;0</formula>
    </cfRule>
  </conditionalFormatting>
  <conditionalFormatting sqref="F35">
    <cfRule type="expression" priority="6" dxfId="3">
      <formula>$F$34&lt;0</formula>
    </cfRule>
  </conditionalFormatting>
  <conditionalFormatting sqref="H13:J15">
    <cfRule type="expression" priority="7" dxfId="2">
      <formula>$I$34&lt;0</formula>
    </cfRule>
  </conditionalFormatting>
  <conditionalFormatting sqref="I35">
    <cfRule type="expression" priority="8" dxfId="3">
      <formula>$I$34&lt;0</formula>
    </cfRule>
  </conditionalFormatting>
  <conditionalFormatting sqref="K13:M15">
    <cfRule type="expression" priority="9" dxfId="2">
      <formula>$L$34&lt;0</formula>
    </cfRule>
  </conditionalFormatting>
  <conditionalFormatting sqref="L35">
    <cfRule type="expression" priority="10" dxfId="3">
      <formula>$L$34&lt;0</formula>
    </cfRule>
  </conditionalFormatting>
  <conditionalFormatting sqref="N13:P15">
    <cfRule type="expression" priority="11" dxfId="2">
      <formula>$O$34&lt;0</formula>
    </cfRule>
  </conditionalFormatting>
  <conditionalFormatting sqref="O35">
    <cfRule type="expression" priority="12" dxfId="3">
      <formula>$O$34&lt;0</formula>
    </cfRule>
  </conditionalFormatting>
  <conditionalFormatting sqref="Q13:S15">
    <cfRule type="expression" priority="13" dxfId="2">
      <formula>$R$34&lt;0</formula>
    </cfRule>
  </conditionalFormatting>
  <conditionalFormatting sqref="R35">
    <cfRule type="expression" priority="14" dxfId="3">
      <formula>$R$34&lt;0</formula>
    </cfRule>
  </conditionalFormatting>
  <conditionalFormatting sqref="T13:V15">
    <cfRule type="expression" priority="15" dxfId="2">
      <formula>$U$34&lt;0</formula>
    </cfRule>
  </conditionalFormatting>
  <conditionalFormatting sqref="U35">
    <cfRule type="expression" priority="16" dxfId="3">
      <formula>$U$34&lt;0</formula>
    </cfRule>
  </conditionalFormatting>
  <conditionalFormatting sqref="W13:Y15">
    <cfRule type="expression" priority="17" dxfId="2">
      <formula>$X$34&lt;0</formula>
    </cfRule>
  </conditionalFormatting>
  <conditionalFormatting sqref="X35">
    <cfRule type="expression" priority="18" dxfId="3">
      <formula>$X$34&lt;0</formula>
    </cfRule>
  </conditionalFormatting>
  <conditionalFormatting sqref="Z13:AB15">
    <cfRule type="expression" priority="19" dxfId="2">
      <formula>$AA$34&lt;0</formula>
    </cfRule>
  </conditionalFormatting>
  <conditionalFormatting sqref="AA35">
    <cfRule type="expression" priority="20" dxfId="3">
      <formula>$AA$34&lt;0</formula>
    </cfRule>
  </conditionalFormatting>
  <conditionalFormatting sqref="AC13:AE15">
    <cfRule type="expression" priority="21" dxfId="2">
      <formula>$AD$34&lt;0</formula>
    </cfRule>
  </conditionalFormatting>
  <conditionalFormatting sqref="AD35">
    <cfRule type="expression" priority="22" dxfId="3">
      <formula>$AD$34&lt;0</formula>
    </cfRule>
  </conditionalFormatting>
  <conditionalFormatting sqref="AF13:AH15">
    <cfRule type="expression" priority="23" dxfId="2">
      <formula>$AG$34&lt;0</formula>
    </cfRule>
  </conditionalFormatting>
  <conditionalFormatting sqref="AG35">
    <cfRule type="expression" priority="24" dxfId="3">
      <formula>$AG$34&lt;0</formula>
    </cfRule>
  </conditionalFormatting>
  <conditionalFormatting sqref="AI13:AK15">
    <cfRule type="expression" priority="25" dxfId="2">
      <formula>$AJ$34&lt;0</formula>
    </cfRule>
  </conditionalFormatting>
  <conditionalFormatting sqref="AJ35">
    <cfRule type="expression" priority="26" dxfId="3">
      <formula>$AJ$34&lt;0</formula>
    </cfRule>
  </conditionalFormatting>
  <conditionalFormatting sqref="D18:D22">
    <cfRule type="expression" priority="27" dxfId="4">
      <formula>AND(ISNUMBER(D18),D18&gt;0)</formula>
    </cfRule>
    <cfRule type="expression" priority="28" dxfId="5">
      <formula>AND(ISNUMBER(D18),D18&lt;0)</formula>
    </cfRule>
  </conditionalFormatting>
  <conditionalFormatting sqref="D16">
    <cfRule type="expression" priority="29" dxfId="4">
      <formula>AND(ISNUMBER(D16),D16&gt;0)</formula>
    </cfRule>
    <cfRule type="expression" priority="30" dxfId="5">
      <formula>AND(ISNUMBER(D16),D16&lt;0)</formula>
    </cfRule>
  </conditionalFormatting>
  <conditionalFormatting sqref="D17">
    <cfRule type="expression" priority="31" dxfId="4">
      <formula>AND(ISNUMBER(D17),D17&gt;0)</formula>
    </cfRule>
    <cfRule type="expression" priority="32" dxfId="5">
      <formula>AND(ISNUMBER(D17),D17&lt;0)</formula>
    </cfRule>
  </conditionalFormatting>
  <conditionalFormatting sqref="D33">
    <cfRule type="expression" priority="33" dxfId="4">
      <formula>AND(ISNUMBER(D33),D33&gt;0)</formula>
    </cfRule>
    <cfRule type="expression" priority="34" dxfId="5">
      <formula>AND(ISNUMBER(D33),D33&lt;0)</formula>
    </cfRule>
  </conditionalFormatting>
  <conditionalFormatting sqref="D34">
    <cfRule type="expression" priority="35" dxfId="4">
      <formula>AND(ISNUMBER(D34),D34&gt;0)</formula>
    </cfRule>
    <cfRule type="expression" priority="36" dxfId="5">
      <formula>AND(ISNUMBER(D34),D34&lt;0)</formula>
    </cfRule>
  </conditionalFormatting>
  <conditionalFormatting sqref="G18:G22">
    <cfRule type="expression" priority="37" dxfId="4">
      <formula>AND(ISNUMBER(G18),G18&gt;0)</formula>
    </cfRule>
    <cfRule type="expression" priority="38" dxfId="5">
      <formula>AND(ISNUMBER(G18),G18&lt;0)</formula>
    </cfRule>
  </conditionalFormatting>
  <conditionalFormatting sqref="G16">
    <cfRule type="expression" priority="39" dxfId="4">
      <formula>AND(ISNUMBER(G16),G16&gt;0)</formula>
    </cfRule>
    <cfRule type="expression" priority="40" dxfId="5">
      <formula>AND(ISNUMBER(G16),G16&lt;0)</formula>
    </cfRule>
  </conditionalFormatting>
  <conditionalFormatting sqref="G17">
    <cfRule type="expression" priority="41" dxfId="4">
      <formula>AND(ISNUMBER(G17),G17&gt;0)</formula>
    </cfRule>
    <cfRule type="expression" priority="42" dxfId="5">
      <formula>AND(ISNUMBER(G17),G17&lt;0)</formula>
    </cfRule>
  </conditionalFormatting>
  <conditionalFormatting sqref="G33">
    <cfRule type="expression" priority="43" dxfId="4">
      <formula>AND(ISNUMBER(G33),G33&gt;0)</formula>
    </cfRule>
    <cfRule type="expression" priority="44" dxfId="5">
      <formula>AND(ISNUMBER(G33),G33&lt;0)</formula>
    </cfRule>
  </conditionalFormatting>
  <conditionalFormatting sqref="G34">
    <cfRule type="expression" priority="45" dxfId="4">
      <formula>AND(ISNUMBER(G34),G34&gt;0)</formula>
    </cfRule>
    <cfRule type="expression" priority="46" dxfId="5">
      <formula>AND(ISNUMBER(G34),G34&lt;0)</formula>
    </cfRule>
  </conditionalFormatting>
  <conditionalFormatting sqref="J18:J22">
    <cfRule type="expression" priority="47" dxfId="4">
      <formula>AND(ISNUMBER(J18),J18&gt;0)</formula>
    </cfRule>
    <cfRule type="expression" priority="48" dxfId="5">
      <formula>AND(ISNUMBER(J18),J18&lt;0)</formula>
    </cfRule>
  </conditionalFormatting>
  <conditionalFormatting sqref="J16">
    <cfRule type="expression" priority="49" dxfId="4">
      <formula>AND(ISNUMBER(J16),J16&gt;0)</formula>
    </cfRule>
    <cfRule type="expression" priority="50" dxfId="5">
      <formula>AND(ISNUMBER(J16),J16&lt;0)</formula>
    </cfRule>
  </conditionalFormatting>
  <conditionalFormatting sqref="J17">
    <cfRule type="expression" priority="51" dxfId="4">
      <formula>AND(ISNUMBER(J17),J17&gt;0)</formula>
    </cfRule>
    <cfRule type="expression" priority="52" dxfId="5">
      <formula>AND(ISNUMBER(J17),J17&lt;0)</formula>
    </cfRule>
  </conditionalFormatting>
  <conditionalFormatting sqref="J33">
    <cfRule type="expression" priority="53" dxfId="4">
      <formula>AND(ISNUMBER(J33),J33&gt;0)</formula>
    </cfRule>
    <cfRule type="expression" priority="54" dxfId="5">
      <formula>AND(ISNUMBER(J33),J33&lt;0)</formula>
    </cfRule>
  </conditionalFormatting>
  <conditionalFormatting sqref="J34">
    <cfRule type="expression" priority="55" dxfId="4">
      <formula>AND(ISNUMBER(J34),J34&gt;0)</formula>
    </cfRule>
    <cfRule type="expression" priority="56" dxfId="5">
      <formula>AND(ISNUMBER(J34),J34&lt;0)</formula>
    </cfRule>
  </conditionalFormatting>
  <conditionalFormatting sqref="M18:M22">
    <cfRule type="expression" priority="57" dxfId="4">
      <formula>AND(ISNUMBER(M18),M18&gt;0)</formula>
    </cfRule>
    <cfRule type="expression" priority="58" dxfId="5">
      <formula>AND(ISNUMBER(M18),M18&lt;0)</formula>
    </cfRule>
  </conditionalFormatting>
  <conditionalFormatting sqref="M16">
    <cfRule type="expression" priority="59" dxfId="4">
      <formula>AND(ISNUMBER(M16),M16&gt;0)</formula>
    </cfRule>
    <cfRule type="expression" priority="60" dxfId="5">
      <formula>AND(ISNUMBER(M16),M16&lt;0)</formula>
    </cfRule>
  </conditionalFormatting>
  <conditionalFormatting sqref="M17">
    <cfRule type="expression" priority="61" dxfId="4">
      <formula>AND(ISNUMBER(M17),M17&gt;0)</formula>
    </cfRule>
    <cfRule type="expression" priority="62" dxfId="5">
      <formula>AND(ISNUMBER(M17),M17&lt;0)</formula>
    </cfRule>
  </conditionalFormatting>
  <conditionalFormatting sqref="M33">
    <cfRule type="expression" priority="63" dxfId="4">
      <formula>AND(ISNUMBER(M33),M33&gt;0)</formula>
    </cfRule>
    <cfRule type="expression" priority="64" dxfId="5">
      <formula>AND(ISNUMBER(M33),M33&lt;0)</formula>
    </cfRule>
  </conditionalFormatting>
  <conditionalFormatting sqref="M34">
    <cfRule type="expression" priority="65" dxfId="4">
      <formula>AND(ISNUMBER(M34),M34&gt;0)</formula>
    </cfRule>
    <cfRule type="expression" priority="66" dxfId="5">
      <formula>AND(ISNUMBER(M34),M34&lt;0)</formula>
    </cfRule>
  </conditionalFormatting>
  <conditionalFormatting sqref="P18:P22">
    <cfRule type="expression" priority="67" dxfId="4">
      <formula>AND(ISNUMBER(P18),P18&gt;0)</formula>
    </cfRule>
    <cfRule type="expression" priority="68" dxfId="5">
      <formula>AND(ISNUMBER(P18),P18&lt;0)</formula>
    </cfRule>
  </conditionalFormatting>
  <conditionalFormatting sqref="P16">
    <cfRule type="expression" priority="69" dxfId="4">
      <formula>AND(ISNUMBER(P16),P16&gt;0)</formula>
    </cfRule>
    <cfRule type="expression" priority="70" dxfId="5">
      <formula>AND(ISNUMBER(P16),P16&lt;0)</formula>
    </cfRule>
  </conditionalFormatting>
  <conditionalFormatting sqref="P17">
    <cfRule type="expression" priority="71" dxfId="4">
      <formula>AND(ISNUMBER(P17),P17&gt;0)</formula>
    </cfRule>
    <cfRule type="expression" priority="72" dxfId="5">
      <formula>AND(ISNUMBER(P17),P17&lt;0)</formula>
    </cfRule>
  </conditionalFormatting>
  <conditionalFormatting sqref="P33">
    <cfRule type="expression" priority="73" dxfId="4">
      <formula>AND(ISNUMBER(P33),P33&gt;0)</formula>
    </cfRule>
    <cfRule type="expression" priority="74" dxfId="5">
      <formula>AND(ISNUMBER(P33),P33&lt;0)</formula>
    </cfRule>
  </conditionalFormatting>
  <conditionalFormatting sqref="P34">
    <cfRule type="expression" priority="75" dxfId="4">
      <formula>AND(ISNUMBER(P34),P34&gt;0)</formula>
    </cfRule>
    <cfRule type="expression" priority="76" dxfId="5">
      <formula>AND(ISNUMBER(P34),P34&lt;0)</formula>
    </cfRule>
  </conditionalFormatting>
  <conditionalFormatting sqref="S18:S22">
    <cfRule type="expression" priority="77" dxfId="4">
      <formula>AND(ISNUMBER(S18),S18&gt;0)</formula>
    </cfRule>
    <cfRule type="expression" priority="78" dxfId="5">
      <formula>AND(ISNUMBER(S18),S18&lt;0)</formula>
    </cfRule>
  </conditionalFormatting>
  <conditionalFormatting sqref="S16">
    <cfRule type="expression" priority="79" dxfId="4">
      <formula>AND(ISNUMBER(S16),S16&gt;0)</formula>
    </cfRule>
    <cfRule type="expression" priority="80" dxfId="5">
      <formula>AND(ISNUMBER(S16),S16&lt;0)</formula>
    </cfRule>
  </conditionalFormatting>
  <conditionalFormatting sqref="S17">
    <cfRule type="expression" priority="81" dxfId="4">
      <formula>AND(ISNUMBER(S17),S17&gt;0)</formula>
    </cfRule>
    <cfRule type="expression" priority="82" dxfId="5">
      <formula>AND(ISNUMBER(S17),S17&lt;0)</formula>
    </cfRule>
  </conditionalFormatting>
  <conditionalFormatting sqref="S33">
    <cfRule type="expression" priority="83" dxfId="4">
      <formula>AND(ISNUMBER(S33),S33&gt;0)</formula>
    </cfRule>
    <cfRule type="expression" priority="84" dxfId="5">
      <formula>AND(ISNUMBER(S33),S33&lt;0)</formula>
    </cfRule>
  </conditionalFormatting>
  <conditionalFormatting sqref="S34">
    <cfRule type="expression" priority="85" dxfId="4">
      <formula>AND(ISNUMBER(S34),S34&gt;0)</formula>
    </cfRule>
    <cfRule type="expression" priority="86" dxfId="5">
      <formula>AND(ISNUMBER(S34),S34&lt;0)</formula>
    </cfRule>
  </conditionalFormatting>
  <conditionalFormatting sqref="V18:V22">
    <cfRule type="expression" priority="87" dxfId="4">
      <formula>AND(ISNUMBER(V18),V18&gt;0)</formula>
    </cfRule>
    <cfRule type="expression" priority="88" dxfId="5">
      <formula>AND(ISNUMBER(V18),V18&lt;0)</formula>
    </cfRule>
  </conditionalFormatting>
  <conditionalFormatting sqref="V16">
    <cfRule type="expression" priority="89" dxfId="4">
      <formula>AND(ISNUMBER(V16),V16&gt;0)</formula>
    </cfRule>
    <cfRule type="expression" priority="90" dxfId="5">
      <formula>AND(ISNUMBER(V16),V16&lt;0)</formula>
    </cfRule>
  </conditionalFormatting>
  <conditionalFormatting sqref="V17">
    <cfRule type="expression" priority="91" dxfId="4">
      <formula>AND(ISNUMBER(V17),V17&gt;0)</formula>
    </cfRule>
    <cfRule type="expression" priority="92" dxfId="5">
      <formula>AND(ISNUMBER(V17),V17&lt;0)</formula>
    </cfRule>
  </conditionalFormatting>
  <conditionalFormatting sqref="V33">
    <cfRule type="expression" priority="93" dxfId="4">
      <formula>AND(ISNUMBER(V33),V33&gt;0)</formula>
    </cfRule>
    <cfRule type="expression" priority="94" dxfId="5">
      <formula>AND(ISNUMBER(V33),V33&lt;0)</formula>
    </cfRule>
  </conditionalFormatting>
  <conditionalFormatting sqref="V34">
    <cfRule type="expression" priority="95" dxfId="4">
      <formula>AND(ISNUMBER(V34),V34&gt;0)</formula>
    </cfRule>
    <cfRule type="expression" priority="96" dxfId="5">
      <formula>AND(ISNUMBER(V34),V34&lt;0)</formula>
    </cfRule>
  </conditionalFormatting>
  <conditionalFormatting sqref="Y18:Y22">
    <cfRule type="expression" priority="97" dxfId="4">
      <formula>AND(ISNUMBER(Y18),Y18&gt;0)</formula>
    </cfRule>
    <cfRule type="expression" priority="98" dxfId="5">
      <formula>AND(ISNUMBER(Y18),Y18&lt;0)</formula>
    </cfRule>
  </conditionalFormatting>
  <conditionalFormatting sqref="Y16">
    <cfRule type="expression" priority="99" dxfId="4">
      <formula>AND(ISNUMBER(Y16),Y16&gt;0)</formula>
    </cfRule>
    <cfRule type="expression" priority="100" dxfId="5">
      <formula>AND(ISNUMBER(Y16),Y16&lt;0)</formula>
    </cfRule>
  </conditionalFormatting>
  <conditionalFormatting sqref="Y17">
    <cfRule type="expression" priority="101" dxfId="4">
      <formula>AND(ISNUMBER(Y17),Y17&gt;0)</formula>
    </cfRule>
    <cfRule type="expression" priority="102" dxfId="5">
      <formula>AND(ISNUMBER(Y17),Y17&lt;0)</formula>
    </cfRule>
  </conditionalFormatting>
  <conditionalFormatting sqref="Y33">
    <cfRule type="expression" priority="103" dxfId="4">
      <formula>AND(ISNUMBER(Y33),Y33&gt;0)</formula>
    </cfRule>
    <cfRule type="expression" priority="104" dxfId="5">
      <formula>AND(ISNUMBER(Y33),Y33&lt;0)</formula>
    </cfRule>
  </conditionalFormatting>
  <conditionalFormatting sqref="Y34">
    <cfRule type="expression" priority="105" dxfId="4">
      <formula>AND(ISNUMBER(Y34),Y34&gt;0)</formula>
    </cfRule>
    <cfRule type="expression" priority="106" dxfId="5">
      <formula>AND(ISNUMBER(Y34),Y34&lt;0)</formula>
    </cfRule>
  </conditionalFormatting>
  <conditionalFormatting sqref="AB18:AB22">
    <cfRule type="expression" priority="107" dxfId="4">
      <formula>AND(ISNUMBER(AB18),AB18&gt;0)</formula>
    </cfRule>
    <cfRule type="expression" priority="108" dxfId="5">
      <formula>AND(ISNUMBER(AB18),AB18&lt;0)</formula>
    </cfRule>
  </conditionalFormatting>
  <conditionalFormatting sqref="AB16">
    <cfRule type="expression" priority="109" dxfId="4">
      <formula>AND(ISNUMBER(AB16),AB16&gt;0)</formula>
    </cfRule>
    <cfRule type="expression" priority="110" dxfId="5">
      <formula>AND(ISNUMBER(AB16),AB16&lt;0)</formula>
    </cfRule>
  </conditionalFormatting>
  <conditionalFormatting sqref="AB17">
    <cfRule type="expression" priority="111" dxfId="4">
      <formula>AND(ISNUMBER(AB17),AB17&gt;0)</formula>
    </cfRule>
    <cfRule type="expression" priority="112" dxfId="5">
      <formula>AND(ISNUMBER(AB17),AB17&lt;0)</formula>
    </cfRule>
  </conditionalFormatting>
  <conditionalFormatting sqref="AB33">
    <cfRule type="expression" priority="113" dxfId="4">
      <formula>AND(ISNUMBER(AB33),AB33&gt;0)</formula>
    </cfRule>
    <cfRule type="expression" priority="114" dxfId="5">
      <formula>AND(ISNUMBER(AB33),AB33&lt;0)</formula>
    </cfRule>
  </conditionalFormatting>
  <conditionalFormatting sqref="AB34">
    <cfRule type="expression" priority="115" dxfId="4">
      <formula>AND(ISNUMBER(AB34),AB34&gt;0)</formula>
    </cfRule>
    <cfRule type="expression" priority="116" dxfId="5">
      <formula>AND(ISNUMBER(AB34),AB34&lt;0)</formula>
    </cfRule>
  </conditionalFormatting>
  <conditionalFormatting sqref="AE18:AE22">
    <cfRule type="expression" priority="117" dxfId="4">
      <formula>AND(ISNUMBER(AE18),AE18&gt;0)</formula>
    </cfRule>
    <cfRule type="expression" priority="118" dxfId="5">
      <formula>AND(ISNUMBER(AE18),AE18&lt;0)</formula>
    </cfRule>
  </conditionalFormatting>
  <conditionalFormatting sqref="AE16">
    <cfRule type="expression" priority="119" dxfId="4">
      <formula>AND(ISNUMBER(AE16),AE16&gt;0)</formula>
    </cfRule>
    <cfRule type="expression" priority="120" dxfId="5">
      <formula>AND(ISNUMBER(AE16),AE16&lt;0)</formula>
    </cfRule>
  </conditionalFormatting>
  <conditionalFormatting sqref="AE17">
    <cfRule type="expression" priority="121" dxfId="4">
      <formula>AND(ISNUMBER(AE17),AE17&gt;0)</formula>
    </cfRule>
    <cfRule type="expression" priority="122" dxfId="5">
      <formula>AND(ISNUMBER(AE17),AE17&lt;0)</formula>
    </cfRule>
  </conditionalFormatting>
  <conditionalFormatting sqref="AE33">
    <cfRule type="expression" priority="123" dxfId="4">
      <formula>AND(ISNUMBER(AE33),AE33&gt;0)</formula>
    </cfRule>
    <cfRule type="expression" priority="124" dxfId="5">
      <formula>AND(ISNUMBER(AE33),AE33&lt;0)</formula>
    </cfRule>
  </conditionalFormatting>
  <conditionalFormatting sqref="AE34">
    <cfRule type="expression" priority="125" dxfId="4">
      <formula>AND(ISNUMBER(AE34),AE34&gt;0)</formula>
    </cfRule>
    <cfRule type="expression" priority="126" dxfId="5">
      <formula>AND(ISNUMBER(AE34),AE34&lt;0)</formula>
    </cfRule>
  </conditionalFormatting>
  <conditionalFormatting sqref="AH18:AH22">
    <cfRule type="expression" priority="127" dxfId="4">
      <formula>AND(ISNUMBER(AH18),AH18&gt;0)</formula>
    </cfRule>
    <cfRule type="expression" priority="128" dxfId="5">
      <formula>AND(ISNUMBER(AH18),AH18&lt;0)</formula>
    </cfRule>
  </conditionalFormatting>
  <conditionalFormatting sqref="AH16">
    <cfRule type="expression" priority="129" dxfId="4">
      <formula>AND(ISNUMBER(AH16),AH16&gt;0)</formula>
    </cfRule>
    <cfRule type="expression" priority="130" dxfId="5">
      <formula>AND(ISNUMBER(AH16),AH16&lt;0)</formula>
    </cfRule>
  </conditionalFormatting>
  <conditionalFormatting sqref="AH17">
    <cfRule type="expression" priority="131" dxfId="4">
      <formula>AND(ISNUMBER(AH17),AH17&gt;0)</formula>
    </cfRule>
    <cfRule type="expression" priority="132" dxfId="5">
      <formula>AND(ISNUMBER(AH17),AH17&lt;0)</formula>
    </cfRule>
  </conditionalFormatting>
  <conditionalFormatting sqref="AH33">
    <cfRule type="expression" priority="133" dxfId="4">
      <formula>AND(ISNUMBER(AH33),AH33&gt;0)</formula>
    </cfRule>
    <cfRule type="expression" priority="134" dxfId="5">
      <formula>AND(ISNUMBER(AH33),AH33&lt;0)</formula>
    </cfRule>
  </conditionalFormatting>
  <conditionalFormatting sqref="AH34">
    <cfRule type="expression" priority="135" dxfId="4">
      <formula>AND(ISNUMBER(AH34),AH34&gt;0)</formula>
    </cfRule>
    <cfRule type="expression" priority="136" dxfId="5">
      <formula>AND(ISNUMBER(AH34),AH34&lt;0)</formula>
    </cfRule>
  </conditionalFormatting>
  <conditionalFormatting sqref="AK18:AK22">
    <cfRule type="expression" priority="137" dxfId="4">
      <formula>AND(ISNUMBER(AK18),AK18&gt;0)</formula>
    </cfRule>
    <cfRule type="expression" priority="138" dxfId="5">
      <formula>AND(ISNUMBER(AK18),AK18&lt;0)</formula>
    </cfRule>
  </conditionalFormatting>
  <conditionalFormatting sqref="AK16">
    <cfRule type="expression" priority="139" dxfId="4">
      <formula>AND(ISNUMBER(AK16),AK16&gt;0)</formula>
    </cfRule>
    <cfRule type="expression" priority="140" dxfId="5">
      <formula>AND(ISNUMBER(AK16),AK16&lt;0)</formula>
    </cfRule>
  </conditionalFormatting>
  <conditionalFormatting sqref="AK17">
    <cfRule type="expression" priority="141" dxfId="4">
      <formula>AND(ISNUMBER(AK17),AK17&gt;0)</formula>
    </cfRule>
    <cfRule type="expression" priority="142" dxfId="5">
      <formula>AND(ISNUMBER(AK17),AK17&lt;0)</formula>
    </cfRule>
  </conditionalFormatting>
  <conditionalFormatting sqref="AK33">
    <cfRule type="expression" priority="143" dxfId="4">
      <formula>AND(ISNUMBER(AK33),AK33&gt;0)</formula>
    </cfRule>
    <cfRule type="expression" priority="144" dxfId="5">
      <formula>AND(ISNUMBER(AK33),AK33&lt;0)</formula>
    </cfRule>
  </conditionalFormatting>
  <conditionalFormatting sqref="AK34">
    <cfRule type="expression" priority="145" dxfId="4">
      <formula>AND(ISNUMBER(AK34),AK34&gt;0)</formula>
    </cfRule>
    <cfRule type="expression" priority="146" dxfId="5">
      <formula>AND(ISNUMBER(AK34),AK34&lt;0)</formula>
    </cfRule>
  </conditionalFormatting>
  <conditionalFormatting sqref="D24:D32">
    <cfRule type="expression" priority="147" dxfId="4">
      <formula>AND(ISNUMBER(D24),D24&lt;0)</formula>
    </cfRule>
    <cfRule type="expression" priority="148" dxfId="5">
      <formula>AND(ISNUMBER(D24),D24&gt;0)</formula>
    </cfRule>
  </conditionalFormatting>
  <conditionalFormatting sqref="D23">
    <cfRule type="expression" priority="149" dxfId="4">
      <formula>AND(ISNUMBER(D23),D23&lt;0)</formula>
    </cfRule>
    <cfRule type="expression" priority="150" dxfId="5">
      <formula>AND(ISNUMBER(D23),D23&gt;0)</formula>
    </cfRule>
  </conditionalFormatting>
  <conditionalFormatting sqref="G24:G32">
    <cfRule type="expression" priority="151" dxfId="4">
      <formula>AND(ISNUMBER(G24),G24&lt;0)</formula>
    </cfRule>
    <cfRule type="expression" priority="152" dxfId="5">
      <formula>AND(ISNUMBER(G24),G24&gt;0)</formula>
    </cfRule>
  </conditionalFormatting>
  <conditionalFormatting sqref="G23">
    <cfRule type="expression" priority="153" dxfId="4">
      <formula>AND(ISNUMBER(G23),G23&lt;0)</formula>
    </cfRule>
    <cfRule type="expression" priority="154" dxfId="5">
      <formula>AND(ISNUMBER(G23),G23&gt;0)</formula>
    </cfRule>
  </conditionalFormatting>
  <conditionalFormatting sqref="J24:J32">
    <cfRule type="expression" priority="155" dxfId="4">
      <formula>AND(ISNUMBER(J24),J24&lt;0)</formula>
    </cfRule>
    <cfRule type="expression" priority="156" dxfId="5">
      <formula>AND(ISNUMBER(J24),J24&gt;0)</formula>
    </cfRule>
  </conditionalFormatting>
  <conditionalFormatting sqref="J23">
    <cfRule type="expression" priority="157" dxfId="4">
      <formula>AND(ISNUMBER(J23),J23&lt;0)</formula>
    </cfRule>
    <cfRule type="expression" priority="158" dxfId="5">
      <formula>AND(ISNUMBER(J23),J23&gt;0)</formula>
    </cfRule>
  </conditionalFormatting>
  <conditionalFormatting sqref="M24:M32">
    <cfRule type="expression" priority="159" dxfId="4">
      <formula>AND(ISNUMBER(M24),M24&lt;0)</formula>
    </cfRule>
    <cfRule type="expression" priority="160" dxfId="5">
      <formula>AND(ISNUMBER(M24),M24&gt;0)</formula>
    </cfRule>
  </conditionalFormatting>
  <conditionalFormatting sqref="M23">
    <cfRule type="expression" priority="161" dxfId="4">
      <formula>AND(ISNUMBER(M23),M23&lt;0)</formula>
    </cfRule>
    <cfRule type="expression" priority="162" dxfId="5">
      <formula>AND(ISNUMBER(M23),M23&gt;0)</formula>
    </cfRule>
  </conditionalFormatting>
  <conditionalFormatting sqref="P24:P32">
    <cfRule type="expression" priority="163" dxfId="4">
      <formula>AND(ISNUMBER(P24),P24&lt;0)</formula>
    </cfRule>
    <cfRule type="expression" priority="164" dxfId="5">
      <formula>AND(ISNUMBER(P24),P24&gt;0)</formula>
    </cfRule>
  </conditionalFormatting>
  <conditionalFormatting sqref="P23">
    <cfRule type="expression" priority="165" dxfId="4">
      <formula>AND(ISNUMBER(P23),P23&lt;0)</formula>
    </cfRule>
    <cfRule type="expression" priority="166" dxfId="5">
      <formula>AND(ISNUMBER(P23),P23&gt;0)</formula>
    </cfRule>
  </conditionalFormatting>
  <conditionalFormatting sqref="S24:S32">
    <cfRule type="expression" priority="167" dxfId="4">
      <formula>AND(ISNUMBER(S24),S24&lt;0)</formula>
    </cfRule>
    <cfRule type="expression" priority="168" dxfId="5">
      <formula>AND(ISNUMBER(S24),S24&gt;0)</formula>
    </cfRule>
  </conditionalFormatting>
  <conditionalFormatting sqref="S23">
    <cfRule type="expression" priority="169" dxfId="4">
      <formula>AND(ISNUMBER(S23),S23&lt;0)</formula>
    </cfRule>
    <cfRule type="expression" priority="170" dxfId="5">
      <formula>AND(ISNUMBER(S23),S23&gt;0)</formula>
    </cfRule>
  </conditionalFormatting>
  <conditionalFormatting sqref="V24:V32">
    <cfRule type="expression" priority="171" dxfId="4">
      <formula>AND(ISNUMBER(V24),V24&lt;0)</formula>
    </cfRule>
    <cfRule type="expression" priority="172" dxfId="5">
      <formula>AND(ISNUMBER(V24),V24&gt;0)</formula>
    </cfRule>
  </conditionalFormatting>
  <conditionalFormatting sqref="V23">
    <cfRule type="expression" priority="173" dxfId="4">
      <formula>AND(ISNUMBER(V23),V23&lt;0)</formula>
    </cfRule>
    <cfRule type="expression" priority="174" dxfId="5">
      <formula>AND(ISNUMBER(V23),V23&gt;0)</formula>
    </cfRule>
  </conditionalFormatting>
  <conditionalFormatting sqref="Y24:Y32">
    <cfRule type="expression" priority="175" dxfId="4">
      <formula>AND(ISNUMBER(Y24),Y24&lt;0)</formula>
    </cfRule>
    <cfRule type="expression" priority="176" dxfId="5">
      <formula>AND(ISNUMBER(Y24),Y24&gt;0)</formula>
    </cfRule>
  </conditionalFormatting>
  <conditionalFormatting sqref="Y23">
    <cfRule type="expression" priority="177" dxfId="4">
      <formula>AND(ISNUMBER(Y23),Y23&lt;0)</formula>
    </cfRule>
    <cfRule type="expression" priority="178" dxfId="5">
      <formula>AND(ISNUMBER(Y23),Y23&gt;0)</formula>
    </cfRule>
  </conditionalFormatting>
  <conditionalFormatting sqref="AB24:AB32">
    <cfRule type="expression" priority="179" dxfId="4">
      <formula>AND(ISNUMBER(AB24),AB24&lt;0)</formula>
    </cfRule>
    <cfRule type="expression" priority="180" dxfId="5">
      <formula>AND(ISNUMBER(AB24),AB24&gt;0)</formula>
    </cfRule>
  </conditionalFormatting>
  <conditionalFormatting sqref="AB23">
    <cfRule type="expression" priority="181" dxfId="4">
      <formula>AND(ISNUMBER(AB23),AB23&lt;0)</formula>
    </cfRule>
    <cfRule type="expression" priority="182" dxfId="5">
      <formula>AND(ISNUMBER(AB23),AB23&gt;0)</formula>
    </cfRule>
  </conditionalFormatting>
  <conditionalFormatting sqref="AE24:AE32">
    <cfRule type="expression" priority="183" dxfId="4">
      <formula>AND(ISNUMBER(AE24),AE24&lt;0)</formula>
    </cfRule>
    <cfRule type="expression" priority="184" dxfId="5">
      <formula>AND(ISNUMBER(AE24),AE24&gt;0)</formula>
    </cfRule>
  </conditionalFormatting>
  <conditionalFormatting sqref="AE23">
    <cfRule type="expression" priority="185" dxfId="4">
      <formula>AND(ISNUMBER(AE23),AE23&lt;0)</formula>
    </cfRule>
    <cfRule type="expression" priority="186" dxfId="5">
      <formula>AND(ISNUMBER(AE23),AE23&gt;0)</formula>
    </cfRule>
  </conditionalFormatting>
  <conditionalFormatting sqref="AH24:AH32">
    <cfRule type="expression" priority="187" dxfId="4">
      <formula>AND(ISNUMBER(AH24),AH24&lt;0)</formula>
    </cfRule>
    <cfRule type="expression" priority="188" dxfId="5">
      <formula>AND(ISNUMBER(AH24),AH24&gt;0)</formula>
    </cfRule>
  </conditionalFormatting>
  <conditionalFormatting sqref="AH23">
    <cfRule type="expression" priority="189" dxfId="4">
      <formula>AND(ISNUMBER(AH23),AH23&lt;0)</formula>
    </cfRule>
    <cfRule type="expression" priority="190" dxfId="5">
      <formula>AND(ISNUMBER(AH23),AH23&gt;0)</formula>
    </cfRule>
  </conditionalFormatting>
  <conditionalFormatting sqref="AK24:AK32">
    <cfRule type="expression" priority="191" dxfId="4">
      <formula>AND(ISNUMBER(AK24),AK24&lt;0)</formula>
    </cfRule>
    <cfRule type="expression" priority="192" dxfId="5">
      <formula>AND(ISNUMBER(AK24),AK24&gt;0)</formula>
    </cfRule>
  </conditionalFormatting>
  <conditionalFormatting sqref="AK23">
    <cfRule type="expression" priority="193" dxfId="4">
      <formula>AND(ISNUMBER(AK23),AK23&lt;0)</formula>
    </cfRule>
    <cfRule type="expression" priority="194" dxfId="5">
      <formula>AND(ISNUMBER(AK23),AK23&gt;0)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16" customWidth="1" min="5" max="5"/>
    <col width="20" customWidth="1" min="6" max="6"/>
    <col width="10" customWidth="1" min="7" max="7"/>
    <col width="14" customWidth="1" min="8" max="8"/>
    <col width="14" customWidth="1" min="9" max="9"/>
  </cols>
  <sheetData>
    <row r="1" ht="32" customHeight="1">
      <c r="A1" s="33" t="inlineStr">
        <is>
          <t>Неделя</t>
        </is>
      </c>
      <c r="B1" s="33" t="inlineStr">
        <is>
          <t>С</t>
        </is>
      </c>
      <c r="C1" s="33" t="inlineStr">
        <is>
          <t>По</t>
        </is>
      </c>
      <c r="D1" s="33" t="inlineStr">
        <is>
          <t>Остаток — исходный план</t>
        </is>
      </c>
      <c r="E1" s="33" t="inlineStr">
        <is>
          <t>Остаток — факт / прогноз</t>
        </is>
      </c>
      <c r="F1" s="33" t="inlineStr">
        <is>
          <t>Статус</t>
        </is>
      </c>
      <c r="G1" s="33" t="inlineStr">
        <is>
          <t>Минус (1/0)</t>
        </is>
      </c>
      <c r="H1" s="33" t="inlineStr">
        <is>
          <t>Ниже неснижаемого (1/0)</t>
        </is>
      </c>
      <c r="I1" s="33" t="inlineStr">
        <is>
          <t>Неснижаемый остаток</t>
        </is>
      </c>
    </row>
    <row r="2">
      <c r="A2" s="31" t="n">
        <v>1</v>
      </c>
      <c r="B2" s="34">
        <f>БДДС!$B$4+0</f>
        <v>46279</v>
      </c>
      <c r="C2" s="34">
        <f>B2+6</f>
        <v>46285</v>
      </c>
      <c r="D2" s="35">
        <f>БДДС!B34</f>
        <v>1165000</v>
      </c>
      <c r="E2" s="35">
        <f>БДДС!C34</f>
        <v>1063460</v>
      </c>
      <c r="F2" s="31" t="str">
        <f>IF(E2&lt;0,"разрыв",IF(E2&lt;БДДС!$B$6,"ниже неснижаемого",""))</f>
        <v/>
      </c>
      <c r="G2" s="31">
        <f>IF(E2&lt;0,1,0)</f>
        <v>0</v>
      </c>
      <c r="H2" s="31">
        <f>IF(E2&lt;БДДС!$B$6,1,0)</f>
        <v>0</v>
      </c>
      <c r="I2" s="35">
        <f>БДДС!$B$6</f>
        <v>300000</v>
      </c>
    </row>
    <row r="3">
      <c r="A3" s="31" t="n">
        <v>2</v>
      </c>
      <c r="B3" s="34">
        <f>БДДС!$B$4+7</f>
        <v>46286</v>
      </c>
      <c r="C3" s="34">
        <f>B3+6</f>
        <v>46292</v>
      </c>
      <c r="D3" s="35">
        <f>БДДС!E34</f>
        <v>1725000</v>
      </c>
      <c r="E3" s="35">
        <f>БДДС!F34</f>
        <v>1671560</v>
      </c>
      <c r="F3" s="31" t="str">
        <f>IF(E3&lt;0,"разрыв",IF(E3&lt;БДДС!$B$6,"ниже неснижаемого",""))</f>
        <v/>
      </c>
      <c r="G3" s="31">
        <f>IF(E3&lt;0,1,0)</f>
        <v>0</v>
      </c>
      <c r="H3" s="31">
        <f>IF(E3&lt;БДДС!$B$6,1,0)</f>
        <v>0</v>
      </c>
      <c r="I3" s="35">
        <f>БДДС!$B$6</f>
        <v>300000</v>
      </c>
    </row>
    <row r="4">
      <c r="A4" s="31" t="n">
        <v>3</v>
      </c>
      <c r="B4" s="34">
        <f>БДДС!$B$4+14</f>
        <v>46293</v>
      </c>
      <c r="C4" s="34">
        <f>B4+6</f>
        <v>46299</v>
      </c>
      <c r="D4" s="35">
        <f>БДДС!H34</f>
        <v>1840000</v>
      </c>
      <c r="E4" s="35">
        <f>БДДС!I34</f>
        <v>1653320</v>
      </c>
      <c r="F4" s="31" t="str">
        <f>IF(E4&lt;0,"разрыв",IF(E4&lt;БДДС!$B$6,"ниже неснижаемого",""))</f>
        <v/>
      </c>
      <c r="G4" s="31">
        <f>IF(E4&lt;0,1,0)</f>
        <v>0</v>
      </c>
      <c r="H4" s="31">
        <f>IF(E4&lt;БДДС!$B$6,1,0)</f>
        <v>0</v>
      </c>
      <c r="I4" s="35">
        <f>БДДС!$B$6</f>
        <v>300000</v>
      </c>
    </row>
    <row r="5">
      <c r="A5" s="31" t="n">
        <v>4</v>
      </c>
      <c r="B5" s="34">
        <f>БДДС!$B$4+21</f>
        <v>46300</v>
      </c>
      <c r="C5" s="34">
        <f>B5+6</f>
        <v>46306</v>
      </c>
      <c r="D5" s="35">
        <f>БДДС!K34</f>
        <v>2345000</v>
      </c>
      <c r="E5" s="35">
        <f>БДДС!L34</f>
        <v>2030760</v>
      </c>
      <c r="F5" s="31" t="str">
        <f>IF(E5&lt;0,"разрыв",IF(E5&lt;БДДС!$B$6,"ниже неснижаемого",""))</f>
        <v/>
      </c>
      <c r="G5" s="31">
        <f>IF(E5&lt;0,1,0)</f>
        <v>0</v>
      </c>
      <c r="H5" s="31">
        <f>IF(E5&lt;БДДС!$B$6,1,0)</f>
        <v>0</v>
      </c>
      <c r="I5" s="35">
        <f>БДДС!$B$6</f>
        <v>300000</v>
      </c>
    </row>
    <row r="6">
      <c r="A6" s="31" t="n">
        <v>5</v>
      </c>
      <c r="B6" s="34">
        <f>БДДС!$B$4+28</f>
        <v>46307</v>
      </c>
      <c r="C6" s="34">
        <f>B6+6</f>
        <v>46313</v>
      </c>
      <c r="D6" s="35">
        <f>БДДС!N34</f>
        <v>2370000</v>
      </c>
      <c r="E6" s="35">
        <f>БДДС!O34</f>
        <v>2055760</v>
      </c>
      <c r="F6" s="31" t="str">
        <f>IF(E6&lt;0,"разрыв",IF(E6&lt;БДДС!$B$6,"ниже неснижаемого",""))</f>
        <v/>
      </c>
      <c r="G6" s="31">
        <f>IF(E6&lt;0,1,0)</f>
        <v>0</v>
      </c>
      <c r="H6" s="31">
        <f>IF(E6&lt;БДДС!$B$6,1,0)</f>
        <v>0</v>
      </c>
      <c r="I6" s="35">
        <f>БДДС!$B$6</f>
        <v>300000</v>
      </c>
    </row>
    <row r="7">
      <c r="A7" s="31" t="n">
        <v>6</v>
      </c>
      <c r="B7" s="34">
        <f>БДДС!$B$4+35</f>
        <v>46314</v>
      </c>
      <c r="C7" s="34">
        <f>B7+6</f>
        <v>46320</v>
      </c>
      <c r="D7" s="35">
        <f>БДДС!Q34</f>
        <v>155000</v>
      </c>
      <c r="E7" s="35">
        <f>БДДС!R34</f>
        <v>-159240</v>
      </c>
      <c r="F7" s="31" t="str">
        <f>IF(E7&lt;0,"разрыв",IF(E7&lt;БДДС!$B$6,"ниже неснижаемого",""))</f>
        <v>разрыв</v>
      </c>
      <c r="G7" s="31">
        <f>IF(E7&lt;0,1,0)</f>
        <v>1</v>
      </c>
      <c r="H7" s="31">
        <f>IF(E7&lt;БДДС!$B$6,1,0)</f>
        <v>1</v>
      </c>
      <c r="I7" s="35">
        <f>БДДС!$B$6</f>
        <v>300000</v>
      </c>
    </row>
    <row r="8">
      <c r="A8" s="31" t="n">
        <v>7</v>
      </c>
      <c r="B8" s="34">
        <f>БДДС!$B$4+42</f>
        <v>46321</v>
      </c>
      <c r="C8" s="34">
        <f>B8+6</f>
        <v>46327</v>
      </c>
      <c r="D8" s="35">
        <f>БДДС!T34</f>
        <v>190000</v>
      </c>
      <c r="E8" s="35">
        <f>БДДС!U34</f>
        <v>-124240</v>
      </c>
      <c r="F8" s="31" t="str">
        <f>IF(E8&lt;0,"разрыв",IF(E8&lt;БДДС!$B$6,"ниже неснижаемого",""))</f>
        <v>разрыв</v>
      </c>
      <c r="G8" s="31">
        <f>IF(E8&lt;0,1,0)</f>
        <v>1</v>
      </c>
      <c r="H8" s="31">
        <f>IF(E8&lt;БДДС!$B$6,1,0)</f>
        <v>1</v>
      </c>
      <c r="I8" s="35">
        <f>БДДС!$B$6</f>
        <v>300000</v>
      </c>
    </row>
    <row r="9">
      <c r="A9" s="31" t="n">
        <v>8</v>
      </c>
      <c r="B9" s="34">
        <f>БДДС!$B$4+49</f>
        <v>46328</v>
      </c>
      <c r="C9" s="34">
        <f>B9+6</f>
        <v>46334</v>
      </c>
      <c r="D9" s="35">
        <f>БДДС!W34</f>
        <v>575000</v>
      </c>
      <c r="E9" s="35">
        <f>БДДС!X34</f>
        <v>260760</v>
      </c>
      <c r="F9" s="31" t="str">
        <f>IF(E9&lt;0,"разрыв",IF(E9&lt;БДДС!$B$6,"ниже неснижаемого",""))</f>
        <v>ниже неснижаемого</v>
      </c>
      <c r="G9" s="31">
        <f>IF(E9&lt;0,1,0)</f>
        <v>0</v>
      </c>
      <c r="H9" s="31">
        <f>IF(E9&lt;БДДС!$B$6,1,0)</f>
        <v>1</v>
      </c>
      <c r="I9" s="35">
        <f>БДДС!$B$6</f>
        <v>300000</v>
      </c>
    </row>
    <row r="10">
      <c r="A10" s="31" t="n">
        <v>9</v>
      </c>
      <c r="B10" s="34">
        <f>БДДС!$B$4+56</f>
        <v>46335</v>
      </c>
      <c r="C10" s="34">
        <f>B10+6</f>
        <v>46341</v>
      </c>
      <c r="D10" s="35">
        <f>БДДС!Z34</f>
        <v>575000</v>
      </c>
      <c r="E10" s="35">
        <f>БДДС!AA34</f>
        <v>260760</v>
      </c>
      <c r="F10" s="31" t="str">
        <f>IF(E10&lt;0,"разрыв",IF(E10&lt;БДДС!$B$6,"ниже неснижаемого",""))</f>
        <v>ниже неснижаемого</v>
      </c>
      <c r="G10" s="31">
        <f>IF(E10&lt;0,1,0)</f>
        <v>0</v>
      </c>
      <c r="H10" s="31">
        <f>IF(E10&lt;БДДС!$B$6,1,0)</f>
        <v>1</v>
      </c>
      <c r="I10" s="35">
        <f>БДДС!$B$6</f>
        <v>300000</v>
      </c>
    </row>
    <row r="11">
      <c r="A11" s="31" t="n">
        <v>10</v>
      </c>
      <c r="B11" s="34">
        <f>БДДС!$B$4+63</f>
        <v>46342</v>
      </c>
      <c r="C11" s="34">
        <f>B11+6</f>
        <v>46348</v>
      </c>
      <c r="D11" s="35">
        <f>БДДС!AC34</f>
        <v>1185000</v>
      </c>
      <c r="E11" s="35">
        <f>БДДС!AD34</f>
        <v>870760</v>
      </c>
      <c r="F11" s="31" t="str">
        <f>IF(E11&lt;0,"разрыв",IF(E11&lt;БДДС!$B$6,"ниже неснижаемого",""))</f>
        <v/>
      </c>
      <c r="G11" s="31">
        <f>IF(E11&lt;0,1,0)</f>
        <v>0</v>
      </c>
      <c r="H11" s="31">
        <f>IF(E11&lt;БДДС!$B$6,1,0)</f>
        <v>0</v>
      </c>
      <c r="I11" s="35">
        <f>БДДС!$B$6</f>
        <v>300000</v>
      </c>
    </row>
    <row r="12">
      <c r="A12" s="31" t="n">
        <v>11</v>
      </c>
      <c r="B12" s="34">
        <f>БДДС!$B$4+70</f>
        <v>46349</v>
      </c>
      <c r="C12" s="34">
        <f>B12+6</f>
        <v>46355</v>
      </c>
      <c r="D12" s="35">
        <f>БДДС!AF34</f>
        <v>1440000</v>
      </c>
      <c r="E12" s="35">
        <f>БДДС!AG34</f>
        <v>1125760</v>
      </c>
      <c r="F12" s="31" t="str">
        <f>IF(E12&lt;0,"разрыв",IF(E12&lt;БДДС!$B$6,"ниже неснижаемого",""))</f>
        <v/>
      </c>
      <c r="G12" s="31">
        <f>IF(E12&lt;0,1,0)</f>
        <v>0</v>
      </c>
      <c r="H12" s="31">
        <f>IF(E12&lt;БДДС!$B$6,1,0)</f>
        <v>0</v>
      </c>
      <c r="I12" s="35">
        <f>БДДС!$B$6</f>
        <v>300000</v>
      </c>
    </row>
    <row r="13">
      <c r="A13" s="31" t="n">
        <v>12</v>
      </c>
      <c r="B13" s="34">
        <f>БДДС!$B$4+77</f>
        <v>46356</v>
      </c>
      <c r="C13" s="34">
        <f>B13+6</f>
        <v>46362</v>
      </c>
      <c r="D13" s="35">
        <f>БДДС!AI34</f>
        <v>2220000</v>
      </c>
      <c r="E13" s="35">
        <f>БДДС!AJ34</f>
        <v>1905760</v>
      </c>
      <c r="F13" s="31" t="str">
        <f>IF(E13&lt;0,"разрыв",IF(E13&lt;БДДС!$B$6,"ниже неснижаемого",""))</f>
        <v/>
      </c>
      <c r="G13" s="31">
        <f>IF(E13&lt;0,1,0)</f>
        <v>0</v>
      </c>
      <c r="H13" s="31">
        <f>IF(E13&lt;БДДС!$B$6,1,0)</f>
        <v>0</v>
      </c>
      <c r="I13" s="35">
        <f>БДДС!$B$6</f>
        <v>300000</v>
      </c>
    </row>
  </sheetData>
  <conditionalFormatting sqref="E2:E13">
    <cfRule type="cellIs" priority="1" operator="lessThan" dxfId="6" stopIfTrue="1">
      <formula>0</formula>
    </cfRule>
    <cfRule type="cellIs" priority="2" operator="lessThan" dxfId="7">
      <formula>БДДС!$B$6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36" t="inlineStr">
        <is>
          <t>БДДС — бюджет движения денежных средств</t>
        </is>
      </c>
    </row>
    <row r="2">
      <c r="A2" s="37" t="inlineStr">
        <is>
          <t>Сколько денег придёт и уйдёт по неделям — и сколько останется на счёте в конце каждой недели.</t>
        </is>
      </c>
    </row>
    <row r="3">
      <c r="A3" s="37" t="inlineStr"/>
    </row>
    <row r="4">
      <c r="A4" s="36" t="inlineStr">
        <is>
          <t>Ритуал понедельника</t>
        </is>
      </c>
    </row>
    <row r="5">
      <c r="A5" s="37" t="inlineStr">
        <is>
          <t>1. Внести факт прошлой недели по банковской выписке. Фактический остаток на конец недели должен совпасть с банком до рубля.</t>
        </is>
      </c>
    </row>
    <row r="6">
      <c r="A6" s="37" t="inlineStr">
        <is>
          <t>2. Посмотреть отклонения (колонка «Откл.»): где жизнь разошлась с планом и почему.</t>
        </is>
      </c>
    </row>
    <row r="7">
      <c r="A7" s="37" t="inlineStr">
        <is>
          <t>3. Продлить план на 8–12 недель вперёд: выплаты маркетплейса, закупки, налоги, платежи по кредитам.</t>
        </is>
      </c>
    </row>
    <row r="8">
      <c r="A8" s="37" t="inlineStr">
        <is>
          <t>4. Проверить остаток. Если впереди разрыв — решать сейчас: сдвинуть оплату, договориться об отсрочке, взять заём заранее.</t>
        </is>
      </c>
    </row>
    <row r="9">
      <c r="A9" s="37" t="inlineStr"/>
    </row>
    <row r="10">
      <c r="A10" s="36" t="inlineStr">
        <is>
          <t>Правила таблицы</t>
        </is>
      </c>
    </row>
    <row r="11">
      <c r="A11" s="37" t="inlineStr">
        <is>
          <t>• Вводите только в жёлтые ячейки. Пустая ячейка факта = считаем по плану.</t>
        </is>
      </c>
    </row>
    <row r="12">
      <c r="A12" s="37" t="inlineStr">
        <is>
          <t>• Выплаты маркетплейса планируйте по дате прихода денег, а не по дате продажи.</t>
        </is>
      </c>
    </row>
    <row r="13">
      <c r="A13" s="37" t="inlineStr">
        <is>
          <t>• Своя статья — в свободную жёлтую строку группы. Новые строки вставляйте ВНУТРИ группы (выше свободных), тогда итоги их подхватят.</t>
        </is>
      </c>
    </row>
    <row r="14">
      <c r="A14" s="37" t="inlineStr">
        <is>
          <t>• Остаток на конец краснеет при минусе и желтеет ниже неснижаемого остатка (ячейка B6 на листе «БДДС»).</t>
        </is>
      </c>
    </row>
    <row r="15">
      <c r="A15" s="37" t="inlineStr">
        <is>
          <t>• Выплаты маркетплейса — нетто и по дате прихода: комиссию, логистику маркетплейса, хранение и рекламу внутри него он уже удержал. «Логистика и фулфилмент» — только фулфилмент и доставка до склада маркетплейса.</t>
        </is>
      </c>
    </row>
    <row r="16">
      <c r="A16" s="37" t="inlineStr">
        <is>
          <t>• Следующие 12 недель — сохраните копию файла и поставьте в ней новую дату старта и фактический остаток на старте.</t>
        </is>
      </c>
    </row>
    <row r="17">
      <c r="A17" s="37" t="inlineStr">
        <is>
          <t>• Цифры в примере условные — замените своими.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2026-10-13T18:14:24Z</dcterms:created>
  <dcterms:modified xmlns:dcterms="http://purl.org/dc/terms/" xmlns:xsi="http://www.w3.org/2001/XMLSchema-instance" xsi:type="dcterms:W3CDTF">2026-10-13T18:14:24Z</dcterms:modified>
</cp:coreProperties>
</file>